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instellungen" state="visible" r:id="rId4"/>
    <sheet sheetId="2" name="Team" state="visible" r:id="rId5"/>
    <sheet sheetId="3" name="Januar" state="visible" r:id="rId6"/>
    <sheet sheetId="4" name="Februar" state="visible" r:id="rId7"/>
    <sheet sheetId="5" name="März" state="visible" r:id="rId8"/>
    <sheet sheetId="6" name="April" state="visible" r:id="rId9"/>
    <sheet sheetId="7" name="Mai" state="visible" r:id="rId10"/>
    <sheet sheetId="8" name="Juni" state="visible" r:id="rId11"/>
    <sheet sheetId="9" name="Juli" state="visible" r:id="rId12"/>
    <sheet sheetId="10" name="August" state="visible" r:id="rId13"/>
    <sheet sheetId="11" name="September" state="visible" r:id="rId14"/>
    <sheet sheetId="12" name="Oktober" state="visible" r:id="rId15"/>
    <sheet sheetId="13" name="November" state="visible" r:id="rId16"/>
    <sheet sheetId="14" name="Dezember" state="visible" r:id="rId17"/>
    <sheet sheetId="15" name="Beispiel" state="visible" r:id="rId18"/>
    <sheet sheetId="16" name="Feiertage" state="visible" r:id="rId19"/>
    <sheet sheetId="17" name="Anleitung" state="visible" r:id="rId20"/>
  </sheets>
  <definedNames>
    <definedName name="_xlnm.Print_Area" localSheetId="1">'Team'!$A1:$L33</definedName>
    <definedName name="_xlnm.Print_Titles" localSheetId="1">'Team'!$7:$7</definedName>
    <definedName name="_xlnm.Print_Area" localSheetId="2">'Januar'!$A1:$AJ32</definedName>
    <definedName name="_xlnm.Print_Area" localSheetId="3">'Februar'!$A1:$AJ32</definedName>
    <definedName name="_xlnm.Print_Area" localSheetId="4">'März'!$A1:$AJ32</definedName>
    <definedName name="_xlnm.Print_Area" localSheetId="5">'April'!$A1:$AJ32</definedName>
    <definedName name="_xlnm.Print_Area" localSheetId="6">'Mai'!$A1:$AJ32</definedName>
    <definedName name="_xlnm.Print_Area" localSheetId="7">'Juni'!$A1:$AJ32</definedName>
    <definedName name="_xlnm.Print_Area" localSheetId="8">'Juli'!$A1:$AJ32</definedName>
    <definedName name="_xlnm.Print_Area" localSheetId="9">'August'!$A1:$AJ32</definedName>
    <definedName name="_xlnm.Print_Area" localSheetId="10">'September'!$A1:$AJ32</definedName>
    <definedName name="_xlnm.Print_Area" localSheetId="11">'Oktober'!$A1:$AJ32</definedName>
    <definedName name="_xlnm.Print_Area" localSheetId="12">'November'!$A1:$AJ32</definedName>
    <definedName name="_xlnm.Print_Area" localSheetId="13">'Dezember'!$A1:$AJ32</definedName>
    <definedName name="_xlnm.Print_Area" localSheetId="14">'Beispiel'!$A1:$AJ41</definedName>
    <definedName name="_xlnm.Print_Area" localSheetId="15">'Feiertage'!$A1:$J91</definedName>
  </definedNames>
  <calcPr calcId="171027" fullCalcOnLoad="1"/>
</workbook>
</file>

<file path=xl/comments1.xml><?xml version="1.0" encoding="utf-8"?>
<comments xmlns="http://schemas.openxmlformats.org/spreadsheetml/2006/main">
  <authors>
    <author>Author</author>
  </authors>
  <commentList>
    <comment ref="B5" authorId="0">
      <text>
        <r>
          <t>Feiertage sind für 2026 bis 2030 hinterlegt. Für spätere Jahre im Blatt „Feiertage“ ergänzen.</t>
        </r>
      </text>
    </comment>
  </commentList>
</comments>
</file>

<file path=xl/comments2.xml><?xml version="1.0" encoding="utf-8"?>
<comments xmlns="http://schemas.openxmlformats.org/spreadsheetml/2006/main">
  <authors>
    <author>Author</author>
  </authors>
  <commentList>
    <comment ref="C7" authorId="0">
      <text>
        <r>
          <t>Urlaubstage im Jahr laut Arbeitsvertrag. Gesetzliches Minimum bei fünf Arbeitstagen pro Woche: 20 Tage.</t>
        </r>
      </text>
    </comment>
    <comment ref="H7" authorId="0">
      <text>
        <r>
          <t>Übertrag aus dem Vorjahr, der bis Ende März noch nicht genommen ist (gerechnet: Urlaub zuerst aus dem Übertrag). Gesetzlich ist übertragener Urlaub bis 31. März zu nehmen, § 7 Abs. 3 BUrlG.</t>
        </r>
      </text>
    </comment>
  </commentList>
</comments>
</file>

<file path=xl/sharedStrings.xml><?xml version="1.0" encoding="utf-8"?>
<sst xmlns="http://schemas.openxmlformats.org/spreadsheetml/2006/main" count="511" uniqueCount="146">
  <si>
    <t>Urlaubsplaner</t>
  </si>
  <si>
    <t>Jahr und Bundesland hier einstellen. Alle zwölf Monatsblätter rechnen damit: Datum, Wochentag, Feiertage und Urlaubstage. Namen und Urlaubsanspruch stehen im Blatt „Team“.</t>
  </si>
  <si>
    <t>Weiß: hier eintragen</t>
  </si>
  <si>
    <t>Grau: wird berechnet</t>
  </si>
  <si>
    <t>Kürzel</t>
  </si>
  <si>
    <t>Bedeutung</t>
  </si>
  <si>
    <t>Jahr</t>
  </si>
  <si>
    <t>U</t>
  </si>
  <si>
    <t>Urlaub, ganzer Tag</t>
  </si>
  <si>
    <t>Bundesland</t>
  </si>
  <si>
    <t>Hessen</t>
  </si>
  <si>
    <t>H</t>
  </si>
  <si>
    <t>halber Urlaubstag</t>
  </si>
  <si>
    <t>Team / Firma</t>
  </si>
  <si>
    <t>K</t>
  </si>
  <si>
    <t>krank</t>
  </si>
  <si>
    <t>Arbeitstage im Jahr</t>
  </si>
  <si>
    <t>Montag bis Freitag ohne gesetzliche Feiertage</t>
  </si>
  <si>
    <t>S</t>
  </si>
  <si>
    <t>Sonderurlaub</t>
  </si>
  <si>
    <t>ZA</t>
  </si>
  <si>
    <t>Zeitausgleich</t>
  </si>
  <si>
    <t>Datum</t>
  </si>
  <si>
    <t>Wochentag</t>
  </si>
  <si>
    <t>Feiertag</t>
  </si>
  <si>
    <t>Feiertage, die nur in einzelnen Gemeinden gelten, fehlen. Tragen Sie sie bei Bedarf im Blatt „Feiertage“ ein.</t>
  </si>
  <si>
    <t>Team und Urlaubskonten</t>
  </si>
  <si>
    <t>Namen, Jahresanspruch und Übertrag aus dem Vorjahr eintragen. Genommene Tage, Rest und Krankheitstage holt das Blatt aus den zwölf Monaten.</t>
  </si>
  <si>
    <t>Nr.</t>
  </si>
  <si>
    <t>Name</t>
  </si>
  <si>
    <t>Anspruch (Tage)</t>
  </si>
  <si>
    <t>Übertrag Vorjahr</t>
  </si>
  <si>
    <t>Gesamt</t>
  </si>
  <si>
    <t>Genommen</t>
  </si>
  <si>
    <t>Rest</t>
  </si>
  <si>
    <t>Übertrag offen nach März</t>
  </si>
  <si>
    <t>Krank (Tage)</t>
  </si>
  <si>
    <t>Sonder-urlaub</t>
  </si>
  <si>
    <t>Zeit-ausgleich</t>
  </si>
  <si>
    <t>Bemerkung</t>
  </si>
  <si>
    <t>Summe Team</t>
  </si>
  <si>
    <t>Kürzel:</t>
  </si>
  <si>
    <t>U Urlaub, ganzer Tag</t>
  </si>
  <si>
    <t>H halber Urlaubstag</t>
  </si>
  <si>
    <t>K krank</t>
  </si>
  <si>
    <t>S Sonderurlaub</t>
  </si>
  <si>
    <t>ZA Zeitausgleich</t>
  </si>
  <si>
    <t>Wochenende / Feiertag</t>
  </si>
  <si>
    <t>Tag</t>
  </si>
  <si>
    <t>Urlaub</t>
  </si>
  <si>
    <t>Zeit-ausgl.</t>
  </si>
  <si>
    <t>Abwesend (Personen)</t>
  </si>
  <si>
    <t>Lena Bauer</t>
  </si>
  <si>
    <t>Jonas Becker</t>
  </si>
  <si>
    <t>Sarah Klein</t>
  </si>
  <si>
    <t>Tim Hoffmann</t>
  </si>
  <si>
    <t>Aylin Demir</t>
  </si>
  <si>
    <t>Paul Schneider</t>
  </si>
  <si>
    <t>Urlaubskonten im Beispiel (im Planer stehen sie im Blatt „Team“)</t>
  </si>
  <si>
    <t>Anspruch</t>
  </si>
  <si>
    <t>Übertrag</t>
  </si>
  <si>
    <t>Genommen Jan. bis Apr.</t>
  </si>
  <si>
    <t>Im Mai</t>
  </si>
  <si>
    <t>Gilt in (Kürzel oder „alle“)</t>
  </si>
  <si>
    <t>Feiertag im Land laut Einstellungen</t>
  </si>
  <si>
    <t>Feiertag in Hessen (Beispiel)</t>
  </si>
  <si>
    <t>Im Jahr laut Einstellungen</t>
  </si>
  <si>
    <t>Neujahr</t>
  </si>
  <si>
    <t>alle</t>
  </si>
  <si>
    <t>Baden-Württemberg</t>
  </si>
  <si>
    <t>BW</t>
  </si>
  <si>
    <t>Heilige Drei Könige</t>
  </si>
  <si>
    <t>BW BY ST</t>
  </si>
  <si>
    <t>Bayern</t>
  </si>
  <si>
    <t>BY</t>
  </si>
  <si>
    <t>Internationaler Frauentag</t>
  </si>
  <si>
    <t>BE MV</t>
  </si>
  <si>
    <t>Berlin</t>
  </si>
  <si>
    <t>BE</t>
  </si>
  <si>
    <t>Karfreitag</t>
  </si>
  <si>
    <t>Brandenburg</t>
  </si>
  <si>
    <t>BB</t>
  </si>
  <si>
    <t>Ostermontag</t>
  </si>
  <si>
    <t>Bremen</t>
  </si>
  <si>
    <t>HB</t>
  </si>
  <si>
    <t>Tag der Arbeit</t>
  </si>
  <si>
    <t>Hamburg</t>
  </si>
  <si>
    <t>HH</t>
  </si>
  <si>
    <t>Christi Himmelfahrt</t>
  </si>
  <si>
    <t>HE</t>
  </si>
  <si>
    <t>Pfingstmontag</t>
  </si>
  <si>
    <t>Mecklenburg-Vorpommern</t>
  </si>
  <si>
    <t>MV</t>
  </si>
  <si>
    <t>Fronleichnam</t>
  </si>
  <si>
    <t>BW BY HE NW RP SL</t>
  </si>
  <si>
    <t>Niedersachsen</t>
  </si>
  <si>
    <t>NI</t>
  </si>
  <si>
    <t>Mariä Himmelfahrt</t>
  </si>
  <si>
    <t>SL</t>
  </si>
  <si>
    <t>Nordrhein-Westfalen</t>
  </si>
  <si>
    <t>NW</t>
  </si>
  <si>
    <t>Weltkindertag</t>
  </si>
  <si>
    <t>TH</t>
  </si>
  <si>
    <t>Rheinland-Pfalz</t>
  </si>
  <si>
    <t>RP</t>
  </si>
  <si>
    <t>Tag der Deutschen Einheit</t>
  </si>
  <si>
    <t>Saarland</t>
  </si>
  <si>
    <t>Reformationstag</t>
  </si>
  <si>
    <t>BB HB HH MV NI SN ST SH TH</t>
  </si>
  <si>
    <t>Sachsen</t>
  </si>
  <si>
    <t>SN</t>
  </si>
  <si>
    <t>Allerheiligen</t>
  </si>
  <si>
    <t>BW BY NW RP SL</t>
  </si>
  <si>
    <t>Sachsen-Anhalt</t>
  </si>
  <si>
    <t>ST</t>
  </si>
  <si>
    <t>Buß- und Bettag</t>
  </si>
  <si>
    <t>Schleswig-Holstein</t>
  </si>
  <si>
    <t>SH</t>
  </si>
  <si>
    <t>1. Weihnachtstag</t>
  </si>
  <si>
    <t>Thüringen</t>
  </si>
  <si>
    <t>2. Weihnachtstag</t>
  </si>
  <si>
    <t>Gesetzliche Feiertage, berechnet für 2026 bis 2030. Nicht enthalten sind Feiertage, die nur in einzelnen Gemeinden gelten (z. B. Fronleichnam in Teilen von Sachsen und Thüringen, Mariä Himmelfahrt in Teilen Bayerns, Augsburger Friedensfest). Weitere Jahre oder Betriebsferien darunter anfügen, sie werden mitgezählt. Angaben ohne Gewähr.</t>
  </si>
  <si>
    <t>So nutzen Sie den Urlaubsplaner</t>
  </si>
  <si>
    <t>Ein Jahr pro Datei. Vorgegeben ist 2027. Für ein anderes Jahr die Datei kopieren und im Blatt „Einstellungen“ das Jahr ändern: Datum, Wochentage und Feiertage aller Monate passen sich an.</t>
  </si>
  <si>
    <t>Einrichten</t>
  </si>
  <si>
    <t>1. Im Blatt „Einstellungen“ Jahr und Bundesland wählen. Rechts stehen die Kürzel, darunter die gesetzlichen Feiertage des gewählten Jahres und Landes.</t>
  </si>
  <si>
    <t>2. Im Blatt „Team“ bis zu 25 Namen eintragen, dazu den Jahresanspruch laut Vertrag und den Übertrag aus dem Vorjahr. Die Namen erscheinen von selbst in allen Monatsblättern.</t>
  </si>
  <si>
    <t>Eintragen</t>
  </si>
  <si>
    <t>3. In den Monatsblättern je Person und Tag ein Kürzel eintragen: U Urlaub, H halber Urlaubstag, K krank, S Sonderurlaub, ZA Zeitausgleich. Die Zelle färbt sich passend ein.</t>
  </si>
  <si>
    <t>4. Für eine Woche Urlaub einfach in alle Tage U eintragen, auch über Wochenende und Feiertag. Gezählt werden nur Arbeitstage, graue Tage bleiben außen vor.</t>
  </si>
  <si>
    <t>5. Die Zeile „Abwesend“ unten zeigt je Tag, wie viele Personen fehlen. So fallen Überschneidungen früh auf.</t>
  </si>
  <si>
    <t>So rechnet die Datei</t>
  </si>
  <si>
    <t>Arbeitstage sind Montag bis Freitag ohne die gesetzlichen Feiertage des gewählten Bundeslands. Nur an diesen Tagen zählen U, H, K, S und ZA. H zählt als halber Urlaubstag.</t>
  </si>
  <si>
    <t>Im Blatt „Team“: Gesamt = Anspruch + Übertrag. Genommen = Summe der Urlaubstage aller zwölf Monate. Rest = Gesamt minus Genommen. Ein negativer Rest wird rot.</t>
  </si>
  <si>
    <t>„Übertrag offen nach März“ zeigt, wie viel vom Vorjahresurlaub bis Ende März noch nicht genommen ist. Gerechnet wird so, dass Urlaub zuerst aus dem Übertrag genommen wird.</t>
  </si>
  <si>
    <t>Gesetzliche Feiertage für 2026 bis 2030 stehen im Blatt „Feiertage“. Feiertage, die nur in einzelnen Gemeinden gelten, fehlen. Betriebsferien oder fehlende Tage unten im Blatt „Feiertage“ anfügen und bei „Gilt in“ „alle“ eintragen.</t>
  </si>
  <si>
    <t>Teilzeit an weniger als fünf Tagen bildet die Vorlage nicht automatisch ab: Tragen Sie an freien Wochentagen nichts ein und rechnen Sie den Anspruch entsprechend um.</t>
  </si>
  <si>
    <t>Gut zu wissen</t>
  </si>
  <si>
    <t>Der gesetzliche Mindesturlaub beträgt 24 Werktage (§ 3 BUrlG), bei einer Fünf-Tage-Woche 20 Arbeitstage. Übertragener Urlaub ist bis zum 31. März des Folgejahres zu nehmen (§ 7 Abs. 3 BUrlG). Verfallen kann er nach der Rechtsprechung des Bundesarbeitsgerichts nur, wenn der Arbeitgeber rechtzeitig auf den Resturlaub und den drohenden Verfall hingewiesen hat.</t>
  </si>
  <si>
    <t>Der Planer ist eine Übersicht. Beantragt und genehmigt wird Urlaub trotzdem einzeln, etwa mit unserer Vorlage für den Urlaubsantrag.</t>
  </si>
  <si>
    <t>Urlaubsantrag Vorlage: www.teamspace.de/vorlagen/urlaubsantrag/</t>
  </si>
  <si>
    <t>Mehr Vorlagen und Erklärungen</t>
  </si>
  <si>
    <t>Erklärung und Beispiel zu dieser Vorlage: www.teamspace.de/vorlagen/urlaubsplaner/</t>
  </si>
  <si>
    <t>Alle kostenlosen Vorlagen: www.teamspace.de/vorlagen/</t>
  </si>
  <si>
    <t>Urlaub mit Antrag, Freigabe und Teamkalender statt Tabelle: www.teamspace.de/hr-software/urlaubsverwaltung/</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</si>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</sst>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dd.mm.yyyy"/>
    <numFmt numFmtId="165" formatCode="dddd"/>
    <numFmt numFmtId="166" formatCode="0.0"/>
    <numFmt numFmtId="167" formatCode="0.0;-0.0;&quot;&quot;"/>
    <numFmt numFmtId="168" formatCode="0;-0;&quot;&quot;"/>
    <numFmt numFmtId="169" formatCode="&quot;Urlaubsplaner&quot; mmmm yyyy"/>
    <numFmt numFmtId="170" formatCode="d"/>
    <numFmt numFmtId="171" formatCode="ddd"/>
    <numFmt numFmtId="172" formatCode="&quot;&quot;;&quot;F&quot;;&quot;&quot;"/>
    <numFmt numFmtId="173" formatCode="&quot;Urlaubsplaner, Beispiel:&quot; mmmm yyyy"/>
  </numFmts>
  <fonts count="18" x14ac:knownFonts="1">
    <font>
      <color theme="1"/>
      <family val="2"/>
      <scheme val="minor"/>
      <sz val="11"/>
      <name val="Calibri"/>
    </font>
    <font>
      <b/>
      <color rgb="FF0B1220"/>
      <sz val="18"/>
      <name val="Calibri"/>
    </font>
    <font>
      <color rgb="FF4B5563"/>
      <sz val="10"/>
      <name val="Calibri"/>
    </font>
    <font>
      <color rgb="FF4B5563"/>
      <sz val="8"/>
      <name val="Calibri"/>
    </font>
    <font>
      <b/>
      <color rgb="FF1B338B"/>
      <sz val="10"/>
      <name val="Calibri"/>
    </font>
    <font>
      <b/>
      <color rgb="FF4B5563"/>
      <sz val="9"/>
      <name val="Calibri"/>
    </font>
    <font>
      <color rgb="FF0B1220"/>
      <sz val="10"/>
      <name val="Calibri"/>
    </font>
    <font>
      <b/>
      <sz val="10"/>
      <name val="Calibri"/>
    </font>
    <font>
      <color rgb="FF1F2937"/>
      <sz val="10"/>
      <name val="Calibri"/>
    </font>
    <font>
      <i/>
      <color rgb="FF4B5563"/>
      <sz val="9"/>
      <name val="Calibri"/>
    </font>
    <font>
      <b/>
      <color rgb="FF1B338B"/>
      <sz val="12"/>
      <name val="Calibri"/>
    </font>
    <font>
      <b/>
      <color rgb="FF1C2F6F"/>
      <sz val="10"/>
      <name val="Calibri"/>
    </font>
    <font>
      <color rgb="FF1F2937"/>
      <sz val="8"/>
      <name val="Calibri"/>
    </font>
    <font>
      <b/>
      <color rgb="FF1B338B"/>
      <sz val="8"/>
      <name val="Calibri"/>
    </font>
    <font>
      <color rgb="FF1B338B"/>
      <sz val="8"/>
      <name val="Calibri"/>
    </font>
    <font>
      <b/>
      <color rgb="FF0B1220"/>
      <sz val="9"/>
      <name val="Calibri"/>
    </font>
    <font>
      <b/>
      <color rgb="FF1B338B"/>
      <sz val="11"/>
      <name val="Calibri"/>
    </font>
    <font>
      <u/>
      <color rgb="FF1F48D8"/>
      <sz val="10"/>
      <name val="Calibri"/>
    </font>
  </fonts>
  <fills count="10">
    <fill>
      <patternFill patternType="none"/>
    </fill>
    <fill>
      <patternFill patternType="gray125"/>
    </fill>
    <fill>
      <patternFill patternType="solid">
        <fgColor rgb="FFF3F4F6"/>
      </patternFill>
    </fill>
    <fill>
      <patternFill patternType="solid">
        <fgColor rgb="FFEEF4FF"/>
      </patternFill>
    </fill>
    <fill>
      <patternFill patternType="solid">
        <fgColor rgb="FFBBF7D0"/>
      </patternFill>
    </fill>
    <fill>
      <patternFill patternType="solid">
        <fgColor rgb="FFDCFCE7"/>
      </patternFill>
    </fill>
    <fill>
      <patternFill patternType="solid">
        <fgColor rgb="FFFECACA"/>
      </patternFill>
    </fill>
    <fill>
      <patternFill patternType="solid">
        <fgColor rgb="FFBFDBFE"/>
      </patternFill>
    </fill>
    <fill>
      <patternFill patternType="solid">
        <fgColor rgb="FFFEF08A"/>
      </patternFill>
    </fill>
    <fill>
      <patternFill patternType="solid">
        <fgColor rgb="FFE5E7EB"/>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5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3" borderId="1" xfId="0" applyFont="1" applyFill="1" applyBorder="1" applyAlignment="1">
      <alignment horizontal="left" vertical="center" wrapText="1"/>
    </xf>
    <xf numFmtId="0" fontId="5" fillId="0" borderId="0" xfId="0" applyFont="1" applyAlignment="1">
      <alignment vertical="center"/>
    </xf>
    <xf numFmtId="1" fontId="6" fillId="0" borderId="1" xfId="0" applyNumberFormat="1" applyFont="1" applyBorder="1" applyAlignment="1">
      <alignment vertical="center"/>
    </xf>
    <xf numFmtId="0" fontId="7" fillId="4" borderId="1" xfId="0" applyFont="1" applyFill="1" applyBorder="1" applyAlignment="1">
      <alignment horizontal="center" vertical="center"/>
    </xf>
    <xf numFmtId="0" fontId="6" fillId="0" borderId="1" xfId="0" applyFont="1" applyBorder="1" applyAlignment="1">
      <alignment vertical="center"/>
    </xf>
    <xf numFmtId="0" fontId="7" fillId="5" borderId="1" xfId="0" applyFont="1" applyFill="1" applyBorder="1" applyAlignment="1">
      <alignment horizontal="center" vertical="center"/>
    </xf>
    <xf numFmtId="0" fontId="7" fillId="6" borderId="1" xfId="0" applyFont="1" applyFill="1" applyBorder="1" applyAlignment="1">
      <alignment horizontal="center" vertical="center"/>
    </xf>
    <xf numFmtId="1" fontId="8" fillId="2" borderId="1" xfId="0" applyNumberFormat="1" applyFont="1" applyFill="1" applyBorder="1" applyAlignment="1">
      <alignment vertical="center"/>
    </xf>
    <xf numFmtId="0" fontId="9" fillId="0" borderId="0" xfId="0" applyFont="1" applyAlignment="1">
      <alignment vertical="center"/>
    </xf>
    <xf numFmtId="0" fontId="7" fillId="7" borderId="1" xfId="0" applyFont="1" applyFill="1" applyBorder="1" applyAlignment="1">
      <alignment horizontal="center" vertical="center"/>
    </xf>
    <xf numFmtId="0" fontId="7" fillId="8" borderId="1" xfId="0" applyFont="1" applyFill="1" applyBorder="1" applyAlignment="1">
      <alignment horizontal="center" vertical="center"/>
    </xf>
    <xf numFmtId="0" fontId="10" fillId="0" borderId="0" xfId="0" applyFont="1"/>
    <xf numFmtId="164" fontId="8" fillId="2" borderId="1" xfId="0" applyNumberFormat="1" applyFont="1" applyFill="1" applyBorder="1" applyAlignment="1">
      <alignment horizontal="left" vertical="center"/>
    </xf>
    <xf numFmtId="165" fontId="8" fillId="2" borderId="1" xfId="0" applyNumberFormat="1" applyFont="1" applyFill="1" applyBorder="1" applyAlignment="1">
      <alignment horizontal="left" vertical="center"/>
    </xf>
    <xf numFmtId="0" fontId="8" fillId="2" borderId="1" xfId="0" applyFont="1" applyFill="1" applyBorder="1" applyAlignment="1">
      <alignment vertical="center"/>
    </xf>
    <xf numFmtId="0" fontId="9" fillId="0" borderId="0" xfId="0" applyFont="1" applyAlignment="1">
      <alignment vertical="top" wrapText="1"/>
    </xf>
    <xf numFmtId="1" fontId="8" fillId="2" borderId="1" xfId="0" applyNumberFormat="1" applyFont="1" applyFill="1" applyBorder="1" applyAlignment="1">
      <alignment horizontal="center" vertical="center"/>
    </xf>
    <xf numFmtId="166" fontId="6" fillId="0" borderId="1" xfId="0" applyNumberFormat="1" applyFont="1" applyBorder="1" applyAlignment="1">
      <alignment vertical="center"/>
    </xf>
    <xf numFmtId="166" fontId="8" fillId="2" borderId="1" xfId="0" applyNumberFormat="1" applyFont="1" applyFill="1" applyBorder="1" applyAlignment="1">
      <alignment vertical="center"/>
    </xf>
    <xf numFmtId="166" fontId="11" fillId="3" borderId="1" xfId="0" applyNumberFormat="1" applyFont="1" applyFill="1" applyBorder="1" applyAlignment="1">
      <alignment vertical="center"/>
    </xf>
    <xf numFmtId="167" fontId="8" fillId="2" borderId="1" xfId="0" applyNumberFormat="1" applyFont="1" applyFill="1" applyBorder="1" applyAlignment="1">
      <alignment vertical="center"/>
    </xf>
    <xf numFmtId="168" fontId="8" fillId="2" borderId="1" xfId="0" applyNumberFormat="1" applyFont="1" applyFill="1" applyBorder="1" applyAlignment="1">
      <alignment vertical="center"/>
    </xf>
    <xf numFmtId="0" fontId="11" fillId="3" borderId="1" xfId="0" applyFont="1" applyFill="1" applyBorder="1" applyAlignment="1">
      <alignment vertical="center"/>
    </xf>
    <xf numFmtId="169" fontId="1" fillId="0" borderId="0" xfId="0" applyNumberFormat="1" applyFont="1" applyAlignment="1">
      <alignment horizontal="left" vertical="center"/>
    </xf>
    <xf numFmtId="0" fontId="2" fillId="0" borderId="0" xfId="0" applyFont="1" applyAlignment="1">
      <alignment vertical="center"/>
    </xf>
    <xf numFmtId="0" fontId="5" fillId="0" borderId="0" xfId="0" applyFont="1" applyAlignment="1">
      <alignment horizontal="right" vertical="center"/>
    </xf>
    <xf numFmtId="0" fontId="12" fillId="4" borderId="0" xfId="0" applyFont="1" applyFill="1" applyAlignment="1">
      <alignment horizontal="center" vertical="center"/>
    </xf>
    <xf numFmtId="0" fontId="12" fillId="5" borderId="0" xfId="0" applyFont="1" applyFill="1" applyAlignment="1">
      <alignment horizontal="center" vertical="center"/>
    </xf>
    <xf numFmtId="0" fontId="12" fillId="6" borderId="0" xfId="0" applyFont="1" applyFill="1" applyAlignment="1">
      <alignment horizontal="center" vertical="center"/>
    </xf>
    <xf numFmtId="0" fontId="12" fillId="7" borderId="0" xfId="0" applyFont="1" applyFill="1" applyAlignment="1">
      <alignment horizontal="center" vertical="center"/>
    </xf>
    <xf numFmtId="0" fontId="12" fillId="8" borderId="0" xfId="0" applyFont="1" applyFill="1" applyAlignment="1">
      <alignment horizontal="center" vertical="center"/>
    </xf>
    <xf numFmtId="0" fontId="12" fillId="9" borderId="0" xfId="0" applyFont="1" applyFill="1" applyAlignment="1">
      <alignment horizontal="center" vertical="center"/>
    </xf>
    <xf numFmtId="0" fontId="4" fillId="3" borderId="1" xfId="0" applyFont="1" applyFill="1" applyBorder="1" applyAlignment="1">
      <alignment horizontal="left" vertical="center"/>
    </xf>
    <xf numFmtId="170" fontId="4" fillId="3" borderId="1" xfId="0" applyNumberFormat="1" applyFont="1" applyFill="1" applyBorder="1" applyAlignment="1">
      <alignment horizontal="center" vertical="center"/>
    </xf>
    <xf numFmtId="0" fontId="13" fillId="3" borderId="1" xfId="0" applyFont="1" applyFill="1" applyBorder="1" applyAlignment="1">
      <alignment horizontal="center" vertical="center" wrapText="1"/>
    </xf>
    <xf numFmtId="171" fontId="14" fillId="3" borderId="1" xfId="0" applyNumberFormat="1" applyFont="1" applyFill="1" applyBorder="1" applyAlignment="1">
      <alignment horizontal="center" vertical="center"/>
    </xf>
    <xf numFmtId="172" fontId="4" fillId="3" borderId="1" xfId="0" applyNumberFormat="1" applyFont="1" applyFill="1" applyBorder="1" applyAlignment="1">
      <alignment horizontal="center" vertical="center"/>
    </xf>
    <xf numFmtId="0" fontId="15" fillId="0" borderId="1" xfId="0" applyFont="1" applyBorder="1" applyAlignment="1">
      <alignment horizontal="center" vertical="center"/>
    </xf>
    <xf numFmtId="167" fontId="11" fillId="3" borderId="1" xfId="0" applyNumberFormat="1" applyFont="1" applyFill="1" applyBorder="1" applyAlignment="1">
      <alignment horizontal="center" vertical="center"/>
    </xf>
    <xf numFmtId="167" fontId="8" fillId="2" borderId="1" xfId="0" applyNumberFormat="1" applyFont="1" applyFill="1" applyBorder="1" applyAlignment="1">
      <alignment horizontal="center" vertical="center"/>
    </xf>
    <xf numFmtId="168" fontId="11" fillId="3" borderId="1" xfId="0" applyNumberFormat="1" applyFont="1" applyFill="1" applyBorder="1" applyAlignment="1">
      <alignment horizontal="center" vertical="center"/>
    </xf>
    <xf numFmtId="173" fontId="1" fillId="0" borderId="0" xfId="0" applyNumberFormat="1" applyFont="1" applyAlignment="1">
      <alignment horizontal="left" vertical="center"/>
    </xf>
    <xf numFmtId="0" fontId="16" fillId="0" borderId="0" xfId="0" applyFont="1"/>
    <xf numFmtId="0" fontId="4" fillId="3" borderId="1" xfId="0" applyFont="1" applyFill="1" applyBorder="1" applyAlignment="1">
      <alignment horizontal="center" vertical="center" wrapText="1"/>
    </xf>
    <xf numFmtId="0" fontId="4" fillId="3" borderId="1" xfId="0" applyFont="1" applyFill="1" applyBorder="1" applyAlignment="1">
      <alignment vertical="center" wrapText="1"/>
    </xf>
    <xf numFmtId="0" fontId="8" fillId="2" borderId="1" xfId="0" applyFont="1" applyFill="1" applyBorder="1" applyAlignment="1">
      <alignment horizontal="left" vertical="center"/>
    </xf>
    <xf numFmtId="164" fontId="6" fillId="0" borderId="1" xfId="0" applyNumberFormat="1" applyFont="1" applyBorder="1" applyAlignment="1">
      <alignment vertical="center"/>
    </xf>
    <xf numFmtId="164" fontId="8" fillId="2" borderId="1" xfId="0" applyNumberFormat="1" applyFont="1" applyFill="1" applyBorder="1" applyAlignment="1">
      <alignment vertical="center"/>
    </xf>
    <xf numFmtId="0" fontId="1" fillId="0" borderId="0" xfId="0" applyFont="1"/>
    <xf numFmtId="0" fontId="8" fillId="0" borderId="0" xfId="0" applyFont="1" applyAlignment="1">
      <alignment vertical="top" wrapText="1"/>
    </xf>
    <xf numFmtId="0" fontId="17" fillId="0" borderId="0" xfId="0" applyFont="1"/>
  </cellXfs>
  <cellStyles count="1">
    <cellStyle name="Normal" xfId="0" builtinId="0"/>
  </cellStyles>
  <dxfs count="93">
    <dxf>
      <font>
        <b/>
        <color rgb="FFB91C1C"/>
      </font>
    </dxf>
    <dxf>
      <fill>
        <patternFill patternType="solid">
          <bgColor rgb="FFFFE6C2"/>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
      <fill>
        <patternFill patternType="solid">
          <bgColor rgb="FFD1D5DB"/>
        </patternFill>
      </fill>
    </dxf>
    <dxf>
      <font>
        <color rgb="FF6B7280"/>
      </font>
      <fill>
        <patternFill patternType="solid">
          <bgColor rgb="FFE5E7EB"/>
        </patternFill>
      </fill>
    </dxf>
    <dxf>
      <fill>
        <patternFill patternType="solid">
          <bgColor rgb="FFBBF7D0"/>
        </patternFill>
      </fill>
    </dxf>
    <dxf>
      <fill>
        <patternFill patternType="solid">
          <bgColor rgb="FFDCFCE7"/>
        </patternFill>
      </fill>
    </dxf>
    <dxf>
      <fill>
        <patternFill patternType="solid">
          <bgColor rgb="FFFECACA"/>
        </patternFill>
      </fill>
    </dxf>
    <dxf>
      <fill>
        <patternFill patternType="solid">
          <bgColor rgb="FFBFDBFE"/>
        </patternFill>
      </fill>
    </dxf>
    <dxf>
      <fill>
        <patternFill patternType="solid">
          <bgColor rgb="FFFEF08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17.xml.rels><?xml version="1.0" encoding="UTF-8" standalone="yes"?>
<Relationships xmlns="http://schemas.openxmlformats.org/package/2006/relationships"><Relationship Id="rId1" Type="http://schemas.openxmlformats.org/officeDocument/2006/relationships/hyperlink" Target="https://www.teamspace.de/vorlagen/urlaubsantrag/" TargetMode="External"/><Relationship Id="rId2" Type="http://schemas.openxmlformats.org/officeDocument/2006/relationships/hyperlink" Target="https://www.teamspace.de/vorlagen/urlaubsplaner/" TargetMode="External"/><Relationship Id="rId3" Type="http://schemas.openxmlformats.org/officeDocument/2006/relationships/hyperlink" Target="https://www.teamspace.de/vorlagen/" TargetMode="External"/><Relationship Id="rId4" Type="http://schemas.openxmlformats.org/officeDocument/2006/relationships/hyperlink" Target="https://www.teamspace.de/hr-software/urlaubsverwalt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3BB0"/>
    <pageSetUpPr fitToPage="1"/>
  </sheetPr>
  <dimension ref="A1:F30"/>
  <sheetViews>
    <sheetView workbookViewId="0" showGridLines="0"/>
  </sheetViews>
  <sheetFormatPr defaultRowHeight="18" outlineLevelRow="0" outlineLevelCol="0" x14ac:dyDescent="55" customHeight="1"/>
  <cols>
    <col min="1" max="1" width="26" customWidth="1"/>
    <col min="2" max="2" width="14" customWidth="1"/>
    <col min="3" max="3" width="32" customWidth="1"/>
    <col min="4" max="4" width="3" customWidth="1"/>
    <col min="5" max="5" width="8" customWidth="1"/>
    <col min="6" max="6" width="30" customWidth="1"/>
  </cols>
  <sheetData>
    <row r="1" ht="30" customHeight="1" spans="1:6" x14ac:dyDescent="0.25">
      <c r="A1" s="1" t="s">
        <v>0</v>
      </c>
      <c r="B1" s="1"/>
      <c r="C1" s="1"/>
      <c r="D1" s="1"/>
      <c r="E1" s="1"/>
      <c r="F1" s="1"/>
    </row>
    <row r="2" ht="30" customHeight="1" spans="1:6" x14ac:dyDescent="0.25">
      <c r="A2" s="2" t="s">
        <v>1</v>
      </c>
      <c r="B2" s="2"/>
      <c r="C2" s="2"/>
      <c r="D2" s="2"/>
      <c r="E2" s="2"/>
      <c r="F2" s="2"/>
    </row>
    <row r="3" ht="16" customHeight="1" spans="1:4" x14ac:dyDescent="0.25">
      <c r="A3" s="3" t="s">
        <v>2</v>
      </c>
      <c r="B3" s="3"/>
      <c r="C3" s="4" t="s">
        <v>3</v>
      </c>
      <c r="D3" s="4"/>
    </row>
    <row r="4" ht="18" customHeight="1" spans="5:6" x14ac:dyDescent="0.25">
      <c r="E4" s="5" t="s">
        <v>4</v>
      </c>
      <c r="F4" s="5" t="s">
        <v>5</v>
      </c>
    </row>
    <row r="5" ht="20" customHeight="1" spans="1:6" x14ac:dyDescent="0.25">
      <c r="A5" s="6" t="s">
        <v>6</v>
      </c>
      <c r="B5" s="7">
        <v>2027</v>
      </c>
      <c r="E5" s="8" t="s">
        <v>7</v>
      </c>
      <c r="F5" s="9" t="s">
        <v>8</v>
      </c>
    </row>
    <row r="6" ht="20" customHeight="1" spans="1:6" x14ac:dyDescent="0.25">
      <c r="A6" s="6" t="s">
        <v>9</v>
      </c>
      <c r="B6" s="9" t="s">
        <v>10</v>
      </c>
      <c r="C6" s="9"/>
      <c r="E6" s="10" t="s">
        <v>11</v>
      </c>
      <c r="F6" s="9" t="s">
        <v>12</v>
      </c>
    </row>
    <row r="7" ht="20" customHeight="1" spans="1:6" x14ac:dyDescent="0.25">
      <c r="A7" s="6" t="s">
        <v>13</v>
      </c>
      <c r="B7" s="9"/>
      <c r="C7" s="9"/>
      <c r="E7" s="11" t="s">
        <v>14</v>
      </c>
      <c r="F7" s="9" t="s">
        <v>15</v>
      </c>
    </row>
    <row r="8" ht="20" customHeight="1" spans="1:6" x14ac:dyDescent="0.25">
      <c r="A8" s="6" t="s">
        <v>16</v>
      </c>
      <c r="B8" s="12">
        <f>COUNTIF('Januar'!$B$6:$AF$6,1)+COUNTIF('Februar'!$B$6:$AF$6,1)+COUNTIF('März'!$B$6:$AF$6,1)+COUNTIF('April'!$B$6:$AF$6,1)+COUNTIF('Mai'!$B$6:$AF$6,1)+COUNTIF('Juni'!$B$6:$AF$6,1)+COUNTIF('Juli'!$B$6:$AF$6,1)+COUNTIF('August'!$B$6:$AF$6,1)+COUNTIF('September'!$B$6:$AF$6,1)+COUNTIF('Oktober'!$B$6:$AF$6,1)+COUNTIF('November'!$B$6:$AF$6,1)+COUNTIF('Dezember'!$B$6:$AF$6,1)</f>
      </c>
      <c r="C8" s="13" t="s">
        <v>17</v>
      </c>
      <c r="E8" s="14" t="s">
        <v>18</v>
      </c>
      <c r="F8" s="9" t="s">
        <v>19</v>
      </c>
    </row>
    <row r="9" spans="5:6" x14ac:dyDescent="0.25">
      <c r="E9" s="15" t="s">
        <v>20</v>
      </c>
      <c r="F9" s="9" t="s">
        <v>21</v>
      </c>
    </row>
    <row r="11" ht="22" customHeight="1" spans="1:3" x14ac:dyDescent="0.25">
      <c r="A11" s="16">
        <f>"Gesetzliche Feiertage "&amp;B5&amp;" in "&amp;B6</f>
      </c>
      <c r="B11" s="16"/>
      <c r="C11" s="16"/>
    </row>
    <row r="12" ht="18" customHeight="1" spans="1:3" x14ac:dyDescent="0.25">
      <c r="A12" s="5" t="s">
        <v>22</v>
      </c>
      <c r="B12" s="5" t="s">
        <v>23</v>
      </c>
      <c r="C12" s="5" t="s">
        <v>24</v>
      </c>
    </row>
    <row r="13" spans="1:3" x14ac:dyDescent="0.25">
      <c r="A13" s="17">
        <f>IFERROR(SMALL(Feiertage!$J$2:$J$200,1),"")</f>
      </c>
      <c r="B13" s="18">
        <f>IF(A13="","",A13)</f>
      </c>
      <c r="C13" s="19">
        <f>IF(A13="","",INDEX(Feiertage!$B$2:$B$200,MATCH(A13,Feiertage!$J$2:$J$200,0)))</f>
      </c>
    </row>
    <row r="14" spans="1:3" x14ac:dyDescent="0.25">
      <c r="A14" s="17">
        <f>IFERROR(SMALL(Feiertage!$J$2:$J$200,2),"")</f>
      </c>
      <c r="B14" s="18">
        <f>IF(A14="","",A14)</f>
      </c>
      <c r="C14" s="19">
        <f>IF(A14="","",INDEX(Feiertage!$B$2:$B$200,MATCH(A14,Feiertage!$J$2:$J$200,0)))</f>
      </c>
    </row>
    <row r="15" spans="1:3" x14ac:dyDescent="0.25">
      <c r="A15" s="17">
        <f>IFERROR(SMALL(Feiertage!$J$2:$J$200,3),"")</f>
      </c>
      <c r="B15" s="18">
        <f>IF(A15="","",A15)</f>
      </c>
      <c r="C15" s="19">
        <f>IF(A15="","",INDEX(Feiertage!$B$2:$B$200,MATCH(A15,Feiertage!$J$2:$J$200,0)))</f>
      </c>
    </row>
    <row r="16" spans="1:3" x14ac:dyDescent="0.25">
      <c r="A16" s="17">
        <f>IFERROR(SMALL(Feiertage!$J$2:$J$200,4),"")</f>
      </c>
      <c r="B16" s="18">
        <f>IF(A16="","",A16)</f>
      </c>
      <c r="C16" s="19">
        <f>IF(A16="","",INDEX(Feiertage!$B$2:$B$200,MATCH(A16,Feiertage!$J$2:$J$200,0)))</f>
      </c>
    </row>
    <row r="17" spans="1:3" x14ac:dyDescent="0.25">
      <c r="A17" s="17">
        <f>IFERROR(SMALL(Feiertage!$J$2:$J$200,5),"")</f>
      </c>
      <c r="B17" s="18">
        <f>IF(A17="","",A17)</f>
      </c>
      <c r="C17" s="19">
        <f>IF(A17="","",INDEX(Feiertage!$B$2:$B$200,MATCH(A17,Feiertage!$J$2:$J$200,0)))</f>
      </c>
    </row>
    <row r="18" spans="1:3" x14ac:dyDescent="0.25">
      <c r="A18" s="17">
        <f>IFERROR(SMALL(Feiertage!$J$2:$J$200,6),"")</f>
      </c>
      <c r="B18" s="18">
        <f>IF(A18="","",A18)</f>
      </c>
      <c r="C18" s="19">
        <f>IF(A18="","",INDEX(Feiertage!$B$2:$B$200,MATCH(A18,Feiertage!$J$2:$J$200,0)))</f>
      </c>
    </row>
    <row r="19" spans="1:3" x14ac:dyDescent="0.25">
      <c r="A19" s="17">
        <f>IFERROR(SMALL(Feiertage!$J$2:$J$200,7),"")</f>
      </c>
      <c r="B19" s="18">
        <f>IF(A19="","",A19)</f>
      </c>
      <c r="C19" s="19">
        <f>IF(A19="","",INDEX(Feiertage!$B$2:$B$200,MATCH(A19,Feiertage!$J$2:$J$200,0)))</f>
      </c>
    </row>
    <row r="20" spans="1:3" x14ac:dyDescent="0.25">
      <c r="A20" s="17">
        <f>IFERROR(SMALL(Feiertage!$J$2:$J$200,8),"")</f>
      </c>
      <c r="B20" s="18">
        <f>IF(A20="","",A20)</f>
      </c>
      <c r="C20" s="19">
        <f>IF(A20="","",INDEX(Feiertage!$B$2:$B$200,MATCH(A20,Feiertage!$J$2:$J$200,0)))</f>
      </c>
    </row>
    <row r="21" spans="1:3" x14ac:dyDescent="0.25">
      <c r="A21" s="17">
        <f>IFERROR(SMALL(Feiertage!$J$2:$J$200,9),"")</f>
      </c>
      <c r="B21" s="18">
        <f>IF(A21="","",A21)</f>
      </c>
      <c r="C21" s="19">
        <f>IF(A21="","",INDEX(Feiertage!$B$2:$B$200,MATCH(A21,Feiertage!$J$2:$J$200,0)))</f>
      </c>
    </row>
    <row r="22" spans="1:3" x14ac:dyDescent="0.25">
      <c r="A22" s="17">
        <f>IFERROR(SMALL(Feiertage!$J$2:$J$200,10),"")</f>
      </c>
      <c r="B22" s="18">
        <f>IF(A22="","",A22)</f>
      </c>
      <c r="C22" s="19">
        <f>IF(A22="","",INDEX(Feiertage!$B$2:$B$200,MATCH(A22,Feiertage!$J$2:$J$200,0)))</f>
      </c>
    </row>
    <row r="23" spans="1:3" x14ac:dyDescent="0.25">
      <c r="A23" s="17">
        <f>IFERROR(SMALL(Feiertage!$J$2:$J$200,11),"")</f>
      </c>
      <c r="B23" s="18">
        <f>IF(A23="","",A23)</f>
      </c>
      <c r="C23" s="19">
        <f>IF(A23="","",INDEX(Feiertage!$B$2:$B$200,MATCH(A23,Feiertage!$J$2:$J$200,0)))</f>
      </c>
    </row>
    <row r="24" spans="1:3" x14ac:dyDescent="0.25">
      <c r="A24" s="17">
        <f>IFERROR(SMALL(Feiertage!$J$2:$J$200,12),"")</f>
      </c>
      <c r="B24" s="18">
        <f>IF(A24="","",A24)</f>
      </c>
      <c r="C24" s="19">
        <f>IF(A24="","",INDEX(Feiertage!$B$2:$B$200,MATCH(A24,Feiertage!$J$2:$J$200,0)))</f>
      </c>
    </row>
    <row r="25" spans="1:3" x14ac:dyDescent="0.25">
      <c r="A25" s="17">
        <f>IFERROR(SMALL(Feiertage!$J$2:$J$200,13),"")</f>
      </c>
      <c r="B25" s="18">
        <f>IF(A25="","",A25)</f>
      </c>
      <c r="C25" s="19">
        <f>IF(A25="","",INDEX(Feiertage!$B$2:$B$200,MATCH(A25,Feiertage!$J$2:$J$200,0)))</f>
      </c>
    </row>
    <row r="26" spans="1:3" x14ac:dyDescent="0.25">
      <c r="A26" s="17">
        <f>IFERROR(SMALL(Feiertage!$J$2:$J$200,14),"")</f>
      </c>
      <c r="B26" s="18">
        <f>IF(A26="","",A26)</f>
      </c>
      <c r="C26" s="19">
        <f>IF(A26="","",INDEX(Feiertage!$B$2:$B$200,MATCH(A26,Feiertage!$J$2:$J$200,0)))</f>
      </c>
    </row>
    <row r="27" spans="1:3" x14ac:dyDescent="0.25">
      <c r="A27" s="17">
        <f>IFERROR(SMALL(Feiertage!$J$2:$J$200,15),"")</f>
      </c>
      <c r="B27" s="18">
        <f>IF(A27="","",A27)</f>
      </c>
      <c r="C27" s="19">
        <f>IF(A27="","",INDEX(Feiertage!$B$2:$B$200,MATCH(A27,Feiertage!$J$2:$J$200,0)))</f>
      </c>
    </row>
    <row r="28" spans="1:3" x14ac:dyDescent="0.25">
      <c r="A28" s="17">
        <f>IFERROR(SMALL(Feiertage!$J$2:$J$200,16),"")</f>
      </c>
      <c r="B28" s="18">
        <f>IF(A28="","",A28)</f>
      </c>
      <c r="C28" s="19">
        <f>IF(A28="","",INDEX(Feiertage!$B$2:$B$200,MATCH(A28,Feiertage!$J$2:$J$200,0)))</f>
      </c>
    </row>
    <row r="30" spans="1:6" x14ac:dyDescent="0.25">
      <c r="A30" s="20" t="s">
        <v>25</v>
      </c>
      <c r="B30" s="20"/>
      <c r="C30" s="20"/>
      <c r="D30" s="20"/>
      <c r="E30" s="20"/>
      <c r="F30" s="20"/>
    </row>
  </sheetData>
  <mergeCells count="8">
    <mergeCell ref="A1:F1"/>
    <mergeCell ref="A2:F2"/>
    <mergeCell ref="A3:B3"/>
    <mergeCell ref="C3:D3"/>
    <mergeCell ref="B6:C6"/>
    <mergeCell ref="B7:C7"/>
    <mergeCell ref="A11:C11"/>
    <mergeCell ref="A30:F30"/>
  </mergeCells>
  <dataValidations count="1">
    <dataValidation type="list" allowBlank="1" showInputMessage="1" prompt="Für die gesetzlichen Feiertage" sqref="B6">
      <formula1>"Baden-Württemberg,Bayern,Berlin,Brandenburg,Bremen,Hamburg,Hessen,Mecklenburg-Vorpommern,Niedersachsen,Nordrhein-Westfalen,Rheinland-Pfalz,Saarland,Sachsen,Sachsen-Anhalt,Schleswig-Holstein,Thüringen"</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3BB0"/>
    <pageSetUpPr fitToPage="1"/>
  </sheetPr>
  <dimension ref="A1:L33"/>
  <sheetViews>
    <sheetView workbookViewId="0" showGridLines="0">
      <pane ySplit="7" topLeftCell="A8" activePane="bottomLeft" state="frozen"/>
      <selection pane="bottomLeft"/>
    </sheetView>
  </sheetViews>
  <sheetFormatPr defaultRowHeight="18" outlineLevelRow="0" outlineLevelCol="0" x14ac:dyDescent="55" customHeight="1"/>
  <cols>
    <col min="1" max="1" width="5" customWidth="1"/>
    <col min="2" max="2" width="24" customWidth="1"/>
    <col min="3" max="4" width="11" customWidth="1"/>
    <col min="5" max="5" width="10" customWidth="1"/>
    <col min="6" max="6" width="11" customWidth="1"/>
    <col min="7" max="7" width="10" customWidth="1"/>
    <col min="8" max="8" width="12" customWidth="1"/>
    <col min="9" max="11" width="10" customWidth="1"/>
    <col min="12" max="12" width="26" customWidth="1"/>
  </cols>
  <sheetData>
    <row r="1" ht="30" customHeight="1" spans="1:12" x14ac:dyDescent="0.25">
      <c r="A1" s="1" t="s">
        <v>26</v>
      </c>
      <c r="B1" s="1"/>
      <c r="C1" s="1"/>
      <c r="D1" s="1"/>
      <c r="E1" s="1"/>
      <c r="F1" s="1"/>
      <c r="G1" s="1"/>
      <c r="H1" s="1"/>
      <c r="I1" s="1"/>
      <c r="J1" s="1"/>
      <c r="K1" s="1"/>
      <c r="L1" s="1"/>
    </row>
    <row r="2" ht="30" customHeight="1" spans="1:12" x14ac:dyDescent="0.25">
      <c r="A2" s="2" t="s">
        <v>27</v>
      </c>
      <c r="B2" s="2"/>
      <c r="C2" s="2"/>
      <c r="D2" s="2"/>
      <c r="E2" s="2"/>
      <c r="F2" s="2"/>
      <c r="G2" s="2"/>
      <c r="H2" s="2"/>
      <c r="I2" s="2"/>
      <c r="J2" s="2"/>
      <c r="K2" s="2"/>
      <c r="L2" s="2"/>
    </row>
    <row r="3" ht="16" customHeight="1" spans="1:4" x14ac:dyDescent="0.25">
      <c r="A3" s="3" t="s">
        <v>2</v>
      </c>
      <c r="B3" s="3"/>
      <c r="C3" s="4" t="s">
        <v>3</v>
      </c>
      <c r="D3" s="4"/>
    </row>
    <row r="5" ht="20" customHeight="1" spans="1:9" x14ac:dyDescent="0.25">
      <c r="A5" s="6" t="s">
        <v>6</v>
      </c>
      <c r="B5" s="6"/>
      <c r="C5" s="12">
        <f>Einstellungen!B5</f>
      </c>
      <c r="E5" s="6" t="s">
        <v>9</v>
      </c>
      <c r="F5" s="6"/>
      <c r="G5" s="19">
        <f>Einstellungen!B6</f>
      </c>
      <c r="H5" s="19"/>
      <c r="I5" s="19"/>
    </row>
    <row r="7" ht="32" customHeight="1" spans="1:12" x14ac:dyDescent="0.25">
      <c r="A7" s="5" t="s">
        <v>28</v>
      </c>
      <c r="B7" s="5" t="s">
        <v>29</v>
      </c>
      <c r="C7" s="5" t="s">
        <v>30</v>
      </c>
      <c r="D7" s="5" t="s">
        <v>31</v>
      </c>
      <c r="E7" s="5" t="s">
        <v>32</v>
      </c>
      <c r="F7" s="5" t="s">
        <v>33</v>
      </c>
      <c r="G7" s="5" t="s">
        <v>34</v>
      </c>
      <c r="H7" s="5" t="s">
        <v>35</v>
      </c>
      <c r="I7" s="5" t="s">
        <v>36</v>
      </c>
      <c r="J7" s="5" t="s">
        <v>37</v>
      </c>
      <c r="K7" s="5" t="s">
        <v>38</v>
      </c>
      <c r="L7" s="5" t="s">
        <v>39</v>
      </c>
    </row>
    <row r="8" ht="17" customHeight="1" spans="1:12" x14ac:dyDescent="0.25">
      <c r="A8" s="21">
        <v>1</v>
      </c>
      <c r="B8" s="9"/>
      <c r="C8" s="22"/>
      <c r="D8" s="22"/>
      <c r="E8" s="23">
        <f>IF(B8="","",N(C8)+N(D8))</f>
      </c>
      <c r="F8" s="23">
        <f>IF(B8="","",'Januar'!AG7+'Februar'!AG7+'März'!AG7+'April'!AG7+'Mai'!AG7+'Juni'!AG7+'Juli'!AG7+'August'!AG7+'September'!AG7+'Oktober'!AG7+'November'!AG7+'Dezember'!AG7)</f>
      </c>
      <c r="G8" s="24">
        <f>IF(B8="","",E8-F8)</f>
      </c>
      <c r="H8" s="25">
        <f>IF(B8="","",MAX(0,N(D8)-('Januar'!AG7+'Februar'!AG7+'März'!AG7)))</f>
      </c>
      <c r="I8" s="26">
        <f>IF(B8="","",'Januar'!AH7+'Februar'!AH7+'März'!AH7+'April'!AH7+'Mai'!AH7+'Juni'!AH7+'Juli'!AH7+'August'!AH7+'September'!AH7+'Oktober'!AH7+'November'!AH7+'Dezember'!AH7)</f>
      </c>
      <c r="J8" s="26">
        <f>IF(B8="","",'Januar'!AI7+'Februar'!AI7+'März'!AI7+'April'!AI7+'Mai'!AI7+'Juni'!AI7+'Juli'!AI7+'August'!AI7+'September'!AI7+'Oktober'!AI7+'November'!AI7+'Dezember'!AI7)</f>
      </c>
      <c r="K8" s="26">
        <f>IF(B8="","",'Januar'!AJ7+'Februar'!AJ7+'März'!AJ7+'April'!AJ7+'Mai'!AJ7+'Juni'!AJ7+'Juli'!AJ7+'August'!AJ7+'September'!AJ7+'Oktober'!AJ7+'November'!AJ7+'Dezember'!AJ7)</f>
      </c>
      <c r="L8" s="9"/>
    </row>
    <row r="9" ht="17" customHeight="1" spans="1:12" x14ac:dyDescent="0.25">
      <c r="A9" s="21">
        <v>2</v>
      </c>
      <c r="B9" s="9"/>
      <c r="C9" s="22"/>
      <c r="D9" s="22"/>
      <c r="E9" s="23">
        <f>IF(B9="","",N(C9)+N(D9))</f>
      </c>
      <c r="F9" s="23">
        <f>IF(B9="","",'Januar'!AG8+'Februar'!AG8+'März'!AG8+'April'!AG8+'Mai'!AG8+'Juni'!AG8+'Juli'!AG8+'August'!AG8+'September'!AG8+'Oktober'!AG8+'November'!AG8+'Dezember'!AG8)</f>
      </c>
      <c r="G9" s="24">
        <f>IF(B9="","",E9-F9)</f>
      </c>
      <c r="H9" s="25">
        <f>IF(B9="","",MAX(0,N(D9)-('Januar'!AG8+'Februar'!AG8+'März'!AG8)))</f>
      </c>
      <c r="I9" s="26">
        <f>IF(B9="","",'Januar'!AH8+'Februar'!AH8+'März'!AH8+'April'!AH8+'Mai'!AH8+'Juni'!AH8+'Juli'!AH8+'August'!AH8+'September'!AH8+'Oktober'!AH8+'November'!AH8+'Dezember'!AH8)</f>
      </c>
      <c r="J9" s="26">
        <f>IF(B9="","",'Januar'!AI8+'Februar'!AI8+'März'!AI8+'April'!AI8+'Mai'!AI8+'Juni'!AI8+'Juli'!AI8+'August'!AI8+'September'!AI8+'Oktober'!AI8+'November'!AI8+'Dezember'!AI8)</f>
      </c>
      <c r="K9" s="26">
        <f>IF(B9="","",'Januar'!AJ8+'Februar'!AJ8+'März'!AJ8+'April'!AJ8+'Mai'!AJ8+'Juni'!AJ8+'Juli'!AJ8+'August'!AJ8+'September'!AJ8+'Oktober'!AJ8+'November'!AJ8+'Dezember'!AJ8)</f>
      </c>
      <c r="L9" s="9"/>
    </row>
    <row r="10" ht="17" customHeight="1" spans="1:12" x14ac:dyDescent="0.25">
      <c r="A10" s="21">
        <v>3</v>
      </c>
      <c r="B10" s="9"/>
      <c r="C10" s="22"/>
      <c r="D10" s="22"/>
      <c r="E10" s="23">
        <f>IF(B10="","",N(C10)+N(D10))</f>
      </c>
      <c r="F10" s="23">
        <f>IF(B10="","",'Januar'!AG9+'Februar'!AG9+'März'!AG9+'April'!AG9+'Mai'!AG9+'Juni'!AG9+'Juli'!AG9+'August'!AG9+'September'!AG9+'Oktober'!AG9+'November'!AG9+'Dezember'!AG9)</f>
      </c>
      <c r="G10" s="24">
        <f>IF(B10="","",E10-F10)</f>
      </c>
      <c r="H10" s="25">
        <f>IF(B10="","",MAX(0,N(D10)-('Januar'!AG9+'Februar'!AG9+'März'!AG9)))</f>
      </c>
      <c r="I10" s="26">
        <f>IF(B10="","",'Januar'!AH9+'Februar'!AH9+'März'!AH9+'April'!AH9+'Mai'!AH9+'Juni'!AH9+'Juli'!AH9+'August'!AH9+'September'!AH9+'Oktober'!AH9+'November'!AH9+'Dezember'!AH9)</f>
      </c>
      <c r="J10" s="26">
        <f>IF(B10="","",'Januar'!AI9+'Februar'!AI9+'März'!AI9+'April'!AI9+'Mai'!AI9+'Juni'!AI9+'Juli'!AI9+'August'!AI9+'September'!AI9+'Oktober'!AI9+'November'!AI9+'Dezember'!AI9)</f>
      </c>
      <c r="K10" s="26">
        <f>IF(B10="","",'Januar'!AJ9+'Februar'!AJ9+'März'!AJ9+'April'!AJ9+'Mai'!AJ9+'Juni'!AJ9+'Juli'!AJ9+'August'!AJ9+'September'!AJ9+'Oktober'!AJ9+'November'!AJ9+'Dezember'!AJ9)</f>
      </c>
      <c r="L10" s="9"/>
    </row>
    <row r="11" ht="17" customHeight="1" spans="1:12" x14ac:dyDescent="0.25">
      <c r="A11" s="21">
        <v>4</v>
      </c>
      <c r="B11" s="9"/>
      <c r="C11" s="22"/>
      <c r="D11" s="22"/>
      <c r="E11" s="23">
        <f>IF(B11="","",N(C11)+N(D11))</f>
      </c>
      <c r="F11" s="23">
        <f>IF(B11="","",'Januar'!AG10+'Februar'!AG10+'März'!AG10+'April'!AG10+'Mai'!AG10+'Juni'!AG10+'Juli'!AG10+'August'!AG10+'September'!AG10+'Oktober'!AG10+'November'!AG10+'Dezember'!AG10)</f>
      </c>
      <c r="G11" s="24">
        <f>IF(B11="","",E11-F11)</f>
      </c>
      <c r="H11" s="25">
        <f>IF(B11="","",MAX(0,N(D11)-('Januar'!AG10+'Februar'!AG10+'März'!AG10)))</f>
      </c>
      <c r="I11" s="26">
        <f>IF(B11="","",'Januar'!AH10+'Februar'!AH10+'März'!AH10+'April'!AH10+'Mai'!AH10+'Juni'!AH10+'Juli'!AH10+'August'!AH10+'September'!AH10+'Oktober'!AH10+'November'!AH10+'Dezember'!AH10)</f>
      </c>
      <c r="J11" s="26">
        <f>IF(B11="","",'Januar'!AI10+'Februar'!AI10+'März'!AI10+'April'!AI10+'Mai'!AI10+'Juni'!AI10+'Juli'!AI10+'August'!AI10+'September'!AI10+'Oktober'!AI10+'November'!AI10+'Dezember'!AI10)</f>
      </c>
      <c r="K11" s="26">
        <f>IF(B11="","",'Januar'!AJ10+'Februar'!AJ10+'März'!AJ10+'April'!AJ10+'Mai'!AJ10+'Juni'!AJ10+'Juli'!AJ10+'August'!AJ10+'September'!AJ10+'Oktober'!AJ10+'November'!AJ10+'Dezember'!AJ10)</f>
      </c>
      <c r="L11" s="9"/>
    </row>
    <row r="12" ht="17" customHeight="1" spans="1:12" x14ac:dyDescent="0.25">
      <c r="A12" s="21">
        <v>5</v>
      </c>
      <c r="B12" s="9"/>
      <c r="C12" s="22"/>
      <c r="D12" s="22"/>
      <c r="E12" s="23">
        <f>IF(B12="","",N(C12)+N(D12))</f>
      </c>
      <c r="F12" s="23">
        <f>IF(B12="","",'Januar'!AG11+'Februar'!AG11+'März'!AG11+'April'!AG11+'Mai'!AG11+'Juni'!AG11+'Juli'!AG11+'August'!AG11+'September'!AG11+'Oktober'!AG11+'November'!AG11+'Dezember'!AG11)</f>
      </c>
      <c r="G12" s="24">
        <f>IF(B12="","",E12-F12)</f>
      </c>
      <c r="H12" s="25">
        <f>IF(B12="","",MAX(0,N(D12)-('Januar'!AG11+'Februar'!AG11+'März'!AG11)))</f>
      </c>
      <c r="I12" s="26">
        <f>IF(B12="","",'Januar'!AH11+'Februar'!AH11+'März'!AH11+'April'!AH11+'Mai'!AH11+'Juni'!AH11+'Juli'!AH11+'August'!AH11+'September'!AH11+'Oktober'!AH11+'November'!AH11+'Dezember'!AH11)</f>
      </c>
      <c r="J12" s="26">
        <f>IF(B12="","",'Januar'!AI11+'Februar'!AI11+'März'!AI11+'April'!AI11+'Mai'!AI11+'Juni'!AI11+'Juli'!AI11+'August'!AI11+'September'!AI11+'Oktober'!AI11+'November'!AI11+'Dezember'!AI11)</f>
      </c>
      <c r="K12" s="26">
        <f>IF(B12="","",'Januar'!AJ11+'Februar'!AJ11+'März'!AJ11+'April'!AJ11+'Mai'!AJ11+'Juni'!AJ11+'Juli'!AJ11+'August'!AJ11+'September'!AJ11+'Oktober'!AJ11+'November'!AJ11+'Dezember'!AJ11)</f>
      </c>
      <c r="L12" s="9"/>
    </row>
    <row r="13" ht="17" customHeight="1" spans="1:12" x14ac:dyDescent="0.25">
      <c r="A13" s="21">
        <v>6</v>
      </c>
      <c r="B13" s="9"/>
      <c r="C13" s="22"/>
      <c r="D13" s="22"/>
      <c r="E13" s="23">
        <f>IF(B13="","",N(C13)+N(D13))</f>
      </c>
      <c r="F13" s="23">
        <f>IF(B13="","",'Januar'!AG12+'Februar'!AG12+'März'!AG12+'April'!AG12+'Mai'!AG12+'Juni'!AG12+'Juli'!AG12+'August'!AG12+'September'!AG12+'Oktober'!AG12+'November'!AG12+'Dezember'!AG12)</f>
      </c>
      <c r="G13" s="24">
        <f>IF(B13="","",E13-F13)</f>
      </c>
      <c r="H13" s="25">
        <f>IF(B13="","",MAX(0,N(D13)-('Januar'!AG12+'Februar'!AG12+'März'!AG12)))</f>
      </c>
      <c r="I13" s="26">
        <f>IF(B13="","",'Januar'!AH12+'Februar'!AH12+'März'!AH12+'April'!AH12+'Mai'!AH12+'Juni'!AH12+'Juli'!AH12+'August'!AH12+'September'!AH12+'Oktober'!AH12+'November'!AH12+'Dezember'!AH12)</f>
      </c>
      <c r="J13" s="26">
        <f>IF(B13="","",'Januar'!AI12+'Februar'!AI12+'März'!AI12+'April'!AI12+'Mai'!AI12+'Juni'!AI12+'Juli'!AI12+'August'!AI12+'September'!AI12+'Oktober'!AI12+'November'!AI12+'Dezember'!AI12)</f>
      </c>
      <c r="K13" s="26">
        <f>IF(B13="","",'Januar'!AJ12+'Februar'!AJ12+'März'!AJ12+'April'!AJ12+'Mai'!AJ12+'Juni'!AJ12+'Juli'!AJ12+'August'!AJ12+'September'!AJ12+'Oktober'!AJ12+'November'!AJ12+'Dezember'!AJ12)</f>
      </c>
      <c r="L13" s="9"/>
    </row>
    <row r="14" ht="17" customHeight="1" spans="1:12" x14ac:dyDescent="0.25">
      <c r="A14" s="21">
        <v>7</v>
      </c>
      <c r="B14" s="9"/>
      <c r="C14" s="22"/>
      <c r="D14" s="22"/>
      <c r="E14" s="23">
        <f>IF(B14="","",N(C14)+N(D14))</f>
      </c>
      <c r="F14" s="23">
        <f>IF(B14="","",'Januar'!AG13+'Februar'!AG13+'März'!AG13+'April'!AG13+'Mai'!AG13+'Juni'!AG13+'Juli'!AG13+'August'!AG13+'September'!AG13+'Oktober'!AG13+'November'!AG13+'Dezember'!AG13)</f>
      </c>
      <c r="G14" s="24">
        <f>IF(B14="","",E14-F14)</f>
      </c>
      <c r="H14" s="25">
        <f>IF(B14="","",MAX(0,N(D14)-('Januar'!AG13+'Februar'!AG13+'März'!AG13)))</f>
      </c>
      <c r="I14" s="26">
        <f>IF(B14="","",'Januar'!AH13+'Februar'!AH13+'März'!AH13+'April'!AH13+'Mai'!AH13+'Juni'!AH13+'Juli'!AH13+'August'!AH13+'September'!AH13+'Oktober'!AH13+'November'!AH13+'Dezember'!AH13)</f>
      </c>
      <c r="J14" s="26">
        <f>IF(B14="","",'Januar'!AI13+'Februar'!AI13+'März'!AI13+'April'!AI13+'Mai'!AI13+'Juni'!AI13+'Juli'!AI13+'August'!AI13+'September'!AI13+'Oktober'!AI13+'November'!AI13+'Dezember'!AI13)</f>
      </c>
      <c r="K14" s="26">
        <f>IF(B14="","",'Januar'!AJ13+'Februar'!AJ13+'März'!AJ13+'April'!AJ13+'Mai'!AJ13+'Juni'!AJ13+'Juli'!AJ13+'August'!AJ13+'September'!AJ13+'Oktober'!AJ13+'November'!AJ13+'Dezember'!AJ13)</f>
      </c>
      <c r="L14" s="9"/>
    </row>
    <row r="15" ht="17" customHeight="1" spans="1:12" x14ac:dyDescent="0.25">
      <c r="A15" s="21">
        <v>8</v>
      </c>
      <c r="B15" s="9"/>
      <c r="C15" s="22"/>
      <c r="D15" s="22"/>
      <c r="E15" s="23">
        <f>IF(B15="","",N(C15)+N(D15))</f>
      </c>
      <c r="F15" s="23">
        <f>IF(B15="","",'Januar'!AG14+'Februar'!AG14+'März'!AG14+'April'!AG14+'Mai'!AG14+'Juni'!AG14+'Juli'!AG14+'August'!AG14+'September'!AG14+'Oktober'!AG14+'November'!AG14+'Dezember'!AG14)</f>
      </c>
      <c r="G15" s="24">
        <f>IF(B15="","",E15-F15)</f>
      </c>
      <c r="H15" s="25">
        <f>IF(B15="","",MAX(0,N(D15)-('Januar'!AG14+'Februar'!AG14+'März'!AG14)))</f>
      </c>
      <c r="I15" s="26">
        <f>IF(B15="","",'Januar'!AH14+'Februar'!AH14+'März'!AH14+'April'!AH14+'Mai'!AH14+'Juni'!AH14+'Juli'!AH14+'August'!AH14+'September'!AH14+'Oktober'!AH14+'November'!AH14+'Dezember'!AH14)</f>
      </c>
      <c r="J15" s="26">
        <f>IF(B15="","",'Januar'!AI14+'Februar'!AI14+'März'!AI14+'April'!AI14+'Mai'!AI14+'Juni'!AI14+'Juli'!AI14+'August'!AI14+'September'!AI14+'Oktober'!AI14+'November'!AI14+'Dezember'!AI14)</f>
      </c>
      <c r="K15" s="26">
        <f>IF(B15="","",'Januar'!AJ14+'Februar'!AJ14+'März'!AJ14+'April'!AJ14+'Mai'!AJ14+'Juni'!AJ14+'Juli'!AJ14+'August'!AJ14+'September'!AJ14+'Oktober'!AJ14+'November'!AJ14+'Dezember'!AJ14)</f>
      </c>
      <c r="L15" s="9"/>
    </row>
    <row r="16" ht="17" customHeight="1" spans="1:12" x14ac:dyDescent="0.25">
      <c r="A16" s="21">
        <v>9</v>
      </c>
      <c r="B16" s="9"/>
      <c r="C16" s="22"/>
      <c r="D16" s="22"/>
      <c r="E16" s="23">
        <f>IF(B16="","",N(C16)+N(D16))</f>
      </c>
      <c r="F16" s="23">
        <f>IF(B16="","",'Januar'!AG15+'Februar'!AG15+'März'!AG15+'April'!AG15+'Mai'!AG15+'Juni'!AG15+'Juli'!AG15+'August'!AG15+'September'!AG15+'Oktober'!AG15+'November'!AG15+'Dezember'!AG15)</f>
      </c>
      <c r="G16" s="24">
        <f>IF(B16="","",E16-F16)</f>
      </c>
      <c r="H16" s="25">
        <f>IF(B16="","",MAX(0,N(D16)-('Januar'!AG15+'Februar'!AG15+'März'!AG15)))</f>
      </c>
      <c r="I16" s="26">
        <f>IF(B16="","",'Januar'!AH15+'Februar'!AH15+'März'!AH15+'April'!AH15+'Mai'!AH15+'Juni'!AH15+'Juli'!AH15+'August'!AH15+'September'!AH15+'Oktober'!AH15+'November'!AH15+'Dezember'!AH15)</f>
      </c>
      <c r="J16" s="26">
        <f>IF(B16="","",'Januar'!AI15+'Februar'!AI15+'März'!AI15+'April'!AI15+'Mai'!AI15+'Juni'!AI15+'Juli'!AI15+'August'!AI15+'September'!AI15+'Oktober'!AI15+'November'!AI15+'Dezember'!AI15)</f>
      </c>
      <c r="K16" s="26">
        <f>IF(B16="","",'Januar'!AJ15+'Februar'!AJ15+'März'!AJ15+'April'!AJ15+'Mai'!AJ15+'Juni'!AJ15+'Juli'!AJ15+'August'!AJ15+'September'!AJ15+'Oktober'!AJ15+'November'!AJ15+'Dezember'!AJ15)</f>
      </c>
      <c r="L16" s="9"/>
    </row>
    <row r="17" ht="17" customHeight="1" spans="1:12" x14ac:dyDescent="0.25">
      <c r="A17" s="21">
        <v>10</v>
      </c>
      <c r="B17" s="9"/>
      <c r="C17" s="22"/>
      <c r="D17" s="22"/>
      <c r="E17" s="23">
        <f>IF(B17="","",N(C17)+N(D17))</f>
      </c>
      <c r="F17" s="23">
        <f>IF(B17="","",'Januar'!AG16+'Februar'!AG16+'März'!AG16+'April'!AG16+'Mai'!AG16+'Juni'!AG16+'Juli'!AG16+'August'!AG16+'September'!AG16+'Oktober'!AG16+'November'!AG16+'Dezember'!AG16)</f>
      </c>
      <c r="G17" s="24">
        <f>IF(B17="","",E17-F17)</f>
      </c>
      <c r="H17" s="25">
        <f>IF(B17="","",MAX(0,N(D17)-('Januar'!AG16+'Februar'!AG16+'März'!AG16)))</f>
      </c>
      <c r="I17" s="26">
        <f>IF(B17="","",'Januar'!AH16+'Februar'!AH16+'März'!AH16+'April'!AH16+'Mai'!AH16+'Juni'!AH16+'Juli'!AH16+'August'!AH16+'September'!AH16+'Oktober'!AH16+'November'!AH16+'Dezember'!AH16)</f>
      </c>
      <c r="J17" s="26">
        <f>IF(B17="","",'Januar'!AI16+'Februar'!AI16+'März'!AI16+'April'!AI16+'Mai'!AI16+'Juni'!AI16+'Juli'!AI16+'August'!AI16+'September'!AI16+'Oktober'!AI16+'November'!AI16+'Dezember'!AI16)</f>
      </c>
      <c r="K17" s="26">
        <f>IF(B17="","",'Januar'!AJ16+'Februar'!AJ16+'März'!AJ16+'April'!AJ16+'Mai'!AJ16+'Juni'!AJ16+'Juli'!AJ16+'August'!AJ16+'September'!AJ16+'Oktober'!AJ16+'November'!AJ16+'Dezember'!AJ16)</f>
      </c>
      <c r="L17" s="9"/>
    </row>
    <row r="18" ht="17" customHeight="1" spans="1:12" x14ac:dyDescent="0.25">
      <c r="A18" s="21">
        <v>11</v>
      </c>
      <c r="B18" s="9"/>
      <c r="C18" s="22"/>
      <c r="D18" s="22"/>
      <c r="E18" s="23">
        <f>IF(B18="","",N(C18)+N(D18))</f>
      </c>
      <c r="F18" s="23">
        <f>IF(B18="","",'Januar'!AG17+'Februar'!AG17+'März'!AG17+'April'!AG17+'Mai'!AG17+'Juni'!AG17+'Juli'!AG17+'August'!AG17+'September'!AG17+'Oktober'!AG17+'November'!AG17+'Dezember'!AG17)</f>
      </c>
      <c r="G18" s="24">
        <f>IF(B18="","",E18-F18)</f>
      </c>
      <c r="H18" s="25">
        <f>IF(B18="","",MAX(0,N(D18)-('Januar'!AG17+'Februar'!AG17+'März'!AG17)))</f>
      </c>
      <c r="I18" s="26">
        <f>IF(B18="","",'Januar'!AH17+'Februar'!AH17+'März'!AH17+'April'!AH17+'Mai'!AH17+'Juni'!AH17+'Juli'!AH17+'August'!AH17+'September'!AH17+'Oktober'!AH17+'November'!AH17+'Dezember'!AH17)</f>
      </c>
      <c r="J18" s="26">
        <f>IF(B18="","",'Januar'!AI17+'Februar'!AI17+'März'!AI17+'April'!AI17+'Mai'!AI17+'Juni'!AI17+'Juli'!AI17+'August'!AI17+'September'!AI17+'Oktober'!AI17+'November'!AI17+'Dezember'!AI17)</f>
      </c>
      <c r="K18" s="26">
        <f>IF(B18="","",'Januar'!AJ17+'Februar'!AJ17+'März'!AJ17+'April'!AJ17+'Mai'!AJ17+'Juni'!AJ17+'Juli'!AJ17+'August'!AJ17+'September'!AJ17+'Oktober'!AJ17+'November'!AJ17+'Dezember'!AJ17)</f>
      </c>
      <c r="L18" s="9"/>
    </row>
    <row r="19" ht="17" customHeight="1" spans="1:12" x14ac:dyDescent="0.25">
      <c r="A19" s="21">
        <v>12</v>
      </c>
      <c r="B19" s="9"/>
      <c r="C19" s="22"/>
      <c r="D19" s="22"/>
      <c r="E19" s="23">
        <f>IF(B19="","",N(C19)+N(D19))</f>
      </c>
      <c r="F19" s="23">
        <f>IF(B19="","",'Januar'!AG18+'Februar'!AG18+'März'!AG18+'April'!AG18+'Mai'!AG18+'Juni'!AG18+'Juli'!AG18+'August'!AG18+'September'!AG18+'Oktober'!AG18+'November'!AG18+'Dezember'!AG18)</f>
      </c>
      <c r="G19" s="24">
        <f>IF(B19="","",E19-F19)</f>
      </c>
      <c r="H19" s="25">
        <f>IF(B19="","",MAX(0,N(D19)-('Januar'!AG18+'Februar'!AG18+'März'!AG18)))</f>
      </c>
      <c r="I19" s="26">
        <f>IF(B19="","",'Januar'!AH18+'Februar'!AH18+'März'!AH18+'April'!AH18+'Mai'!AH18+'Juni'!AH18+'Juli'!AH18+'August'!AH18+'September'!AH18+'Oktober'!AH18+'November'!AH18+'Dezember'!AH18)</f>
      </c>
      <c r="J19" s="26">
        <f>IF(B19="","",'Januar'!AI18+'Februar'!AI18+'März'!AI18+'April'!AI18+'Mai'!AI18+'Juni'!AI18+'Juli'!AI18+'August'!AI18+'September'!AI18+'Oktober'!AI18+'November'!AI18+'Dezember'!AI18)</f>
      </c>
      <c r="K19" s="26">
        <f>IF(B19="","",'Januar'!AJ18+'Februar'!AJ18+'März'!AJ18+'April'!AJ18+'Mai'!AJ18+'Juni'!AJ18+'Juli'!AJ18+'August'!AJ18+'September'!AJ18+'Oktober'!AJ18+'November'!AJ18+'Dezember'!AJ18)</f>
      </c>
      <c r="L19" s="9"/>
    </row>
    <row r="20" ht="17" customHeight="1" spans="1:12" x14ac:dyDescent="0.25">
      <c r="A20" s="21">
        <v>13</v>
      </c>
      <c r="B20" s="9"/>
      <c r="C20" s="22"/>
      <c r="D20" s="22"/>
      <c r="E20" s="23">
        <f>IF(B20="","",N(C20)+N(D20))</f>
      </c>
      <c r="F20" s="23">
        <f>IF(B20="","",'Januar'!AG19+'Februar'!AG19+'März'!AG19+'April'!AG19+'Mai'!AG19+'Juni'!AG19+'Juli'!AG19+'August'!AG19+'September'!AG19+'Oktober'!AG19+'November'!AG19+'Dezember'!AG19)</f>
      </c>
      <c r="G20" s="24">
        <f>IF(B20="","",E20-F20)</f>
      </c>
      <c r="H20" s="25">
        <f>IF(B20="","",MAX(0,N(D20)-('Januar'!AG19+'Februar'!AG19+'März'!AG19)))</f>
      </c>
      <c r="I20" s="26">
        <f>IF(B20="","",'Januar'!AH19+'Februar'!AH19+'März'!AH19+'April'!AH19+'Mai'!AH19+'Juni'!AH19+'Juli'!AH19+'August'!AH19+'September'!AH19+'Oktober'!AH19+'November'!AH19+'Dezember'!AH19)</f>
      </c>
      <c r="J20" s="26">
        <f>IF(B20="","",'Januar'!AI19+'Februar'!AI19+'März'!AI19+'April'!AI19+'Mai'!AI19+'Juni'!AI19+'Juli'!AI19+'August'!AI19+'September'!AI19+'Oktober'!AI19+'November'!AI19+'Dezember'!AI19)</f>
      </c>
      <c r="K20" s="26">
        <f>IF(B20="","",'Januar'!AJ19+'Februar'!AJ19+'März'!AJ19+'April'!AJ19+'Mai'!AJ19+'Juni'!AJ19+'Juli'!AJ19+'August'!AJ19+'September'!AJ19+'Oktober'!AJ19+'November'!AJ19+'Dezember'!AJ19)</f>
      </c>
      <c r="L20" s="9"/>
    </row>
    <row r="21" ht="17" customHeight="1" spans="1:12" x14ac:dyDescent="0.25">
      <c r="A21" s="21">
        <v>14</v>
      </c>
      <c r="B21" s="9"/>
      <c r="C21" s="22"/>
      <c r="D21" s="22"/>
      <c r="E21" s="23">
        <f>IF(B21="","",N(C21)+N(D21))</f>
      </c>
      <c r="F21" s="23">
        <f>IF(B21="","",'Januar'!AG20+'Februar'!AG20+'März'!AG20+'April'!AG20+'Mai'!AG20+'Juni'!AG20+'Juli'!AG20+'August'!AG20+'September'!AG20+'Oktober'!AG20+'November'!AG20+'Dezember'!AG20)</f>
      </c>
      <c r="G21" s="24">
        <f>IF(B21="","",E21-F21)</f>
      </c>
      <c r="H21" s="25">
        <f>IF(B21="","",MAX(0,N(D21)-('Januar'!AG20+'Februar'!AG20+'März'!AG20)))</f>
      </c>
      <c r="I21" s="26">
        <f>IF(B21="","",'Januar'!AH20+'Februar'!AH20+'März'!AH20+'April'!AH20+'Mai'!AH20+'Juni'!AH20+'Juli'!AH20+'August'!AH20+'September'!AH20+'Oktober'!AH20+'November'!AH20+'Dezember'!AH20)</f>
      </c>
      <c r="J21" s="26">
        <f>IF(B21="","",'Januar'!AI20+'Februar'!AI20+'März'!AI20+'April'!AI20+'Mai'!AI20+'Juni'!AI20+'Juli'!AI20+'August'!AI20+'September'!AI20+'Oktober'!AI20+'November'!AI20+'Dezember'!AI20)</f>
      </c>
      <c r="K21" s="26">
        <f>IF(B21="","",'Januar'!AJ20+'Februar'!AJ20+'März'!AJ20+'April'!AJ20+'Mai'!AJ20+'Juni'!AJ20+'Juli'!AJ20+'August'!AJ20+'September'!AJ20+'Oktober'!AJ20+'November'!AJ20+'Dezember'!AJ20)</f>
      </c>
      <c r="L21" s="9"/>
    </row>
    <row r="22" ht="17" customHeight="1" spans="1:12" x14ac:dyDescent="0.25">
      <c r="A22" s="21">
        <v>15</v>
      </c>
      <c r="B22" s="9"/>
      <c r="C22" s="22"/>
      <c r="D22" s="22"/>
      <c r="E22" s="23">
        <f>IF(B22="","",N(C22)+N(D22))</f>
      </c>
      <c r="F22" s="23">
        <f>IF(B22="","",'Januar'!AG21+'Februar'!AG21+'März'!AG21+'April'!AG21+'Mai'!AG21+'Juni'!AG21+'Juli'!AG21+'August'!AG21+'September'!AG21+'Oktober'!AG21+'November'!AG21+'Dezember'!AG21)</f>
      </c>
      <c r="G22" s="24">
        <f>IF(B22="","",E22-F22)</f>
      </c>
      <c r="H22" s="25">
        <f>IF(B22="","",MAX(0,N(D22)-('Januar'!AG21+'Februar'!AG21+'März'!AG21)))</f>
      </c>
      <c r="I22" s="26">
        <f>IF(B22="","",'Januar'!AH21+'Februar'!AH21+'März'!AH21+'April'!AH21+'Mai'!AH21+'Juni'!AH21+'Juli'!AH21+'August'!AH21+'September'!AH21+'Oktober'!AH21+'November'!AH21+'Dezember'!AH21)</f>
      </c>
      <c r="J22" s="26">
        <f>IF(B22="","",'Januar'!AI21+'Februar'!AI21+'März'!AI21+'April'!AI21+'Mai'!AI21+'Juni'!AI21+'Juli'!AI21+'August'!AI21+'September'!AI21+'Oktober'!AI21+'November'!AI21+'Dezember'!AI21)</f>
      </c>
      <c r="K22" s="26">
        <f>IF(B22="","",'Januar'!AJ21+'Februar'!AJ21+'März'!AJ21+'April'!AJ21+'Mai'!AJ21+'Juni'!AJ21+'Juli'!AJ21+'August'!AJ21+'September'!AJ21+'Oktober'!AJ21+'November'!AJ21+'Dezember'!AJ21)</f>
      </c>
      <c r="L22" s="9"/>
    </row>
    <row r="23" ht="17" customHeight="1" spans="1:12" x14ac:dyDescent="0.25">
      <c r="A23" s="21">
        <v>16</v>
      </c>
      <c r="B23" s="9"/>
      <c r="C23" s="22"/>
      <c r="D23" s="22"/>
      <c r="E23" s="23">
        <f>IF(B23="","",N(C23)+N(D23))</f>
      </c>
      <c r="F23" s="23">
        <f>IF(B23="","",'Januar'!AG22+'Februar'!AG22+'März'!AG22+'April'!AG22+'Mai'!AG22+'Juni'!AG22+'Juli'!AG22+'August'!AG22+'September'!AG22+'Oktober'!AG22+'November'!AG22+'Dezember'!AG22)</f>
      </c>
      <c r="G23" s="24">
        <f>IF(B23="","",E23-F23)</f>
      </c>
      <c r="H23" s="25">
        <f>IF(B23="","",MAX(0,N(D23)-('Januar'!AG22+'Februar'!AG22+'März'!AG22)))</f>
      </c>
      <c r="I23" s="26">
        <f>IF(B23="","",'Januar'!AH22+'Februar'!AH22+'März'!AH22+'April'!AH22+'Mai'!AH22+'Juni'!AH22+'Juli'!AH22+'August'!AH22+'September'!AH22+'Oktober'!AH22+'November'!AH22+'Dezember'!AH22)</f>
      </c>
      <c r="J23" s="26">
        <f>IF(B23="","",'Januar'!AI22+'Februar'!AI22+'März'!AI22+'April'!AI22+'Mai'!AI22+'Juni'!AI22+'Juli'!AI22+'August'!AI22+'September'!AI22+'Oktober'!AI22+'November'!AI22+'Dezember'!AI22)</f>
      </c>
      <c r="K23" s="26">
        <f>IF(B23="","",'Januar'!AJ22+'Februar'!AJ22+'März'!AJ22+'April'!AJ22+'Mai'!AJ22+'Juni'!AJ22+'Juli'!AJ22+'August'!AJ22+'September'!AJ22+'Oktober'!AJ22+'November'!AJ22+'Dezember'!AJ22)</f>
      </c>
      <c r="L23" s="9"/>
    </row>
    <row r="24" ht="17" customHeight="1" spans="1:12" x14ac:dyDescent="0.25">
      <c r="A24" s="21">
        <v>17</v>
      </c>
      <c r="B24" s="9"/>
      <c r="C24" s="22"/>
      <c r="D24" s="22"/>
      <c r="E24" s="23">
        <f>IF(B24="","",N(C24)+N(D24))</f>
      </c>
      <c r="F24" s="23">
        <f>IF(B24="","",'Januar'!AG23+'Februar'!AG23+'März'!AG23+'April'!AG23+'Mai'!AG23+'Juni'!AG23+'Juli'!AG23+'August'!AG23+'September'!AG23+'Oktober'!AG23+'November'!AG23+'Dezember'!AG23)</f>
      </c>
      <c r="G24" s="24">
        <f>IF(B24="","",E24-F24)</f>
      </c>
      <c r="H24" s="25">
        <f>IF(B24="","",MAX(0,N(D24)-('Januar'!AG23+'Februar'!AG23+'März'!AG23)))</f>
      </c>
      <c r="I24" s="26">
        <f>IF(B24="","",'Januar'!AH23+'Februar'!AH23+'März'!AH23+'April'!AH23+'Mai'!AH23+'Juni'!AH23+'Juli'!AH23+'August'!AH23+'September'!AH23+'Oktober'!AH23+'November'!AH23+'Dezember'!AH23)</f>
      </c>
      <c r="J24" s="26">
        <f>IF(B24="","",'Januar'!AI23+'Februar'!AI23+'März'!AI23+'April'!AI23+'Mai'!AI23+'Juni'!AI23+'Juli'!AI23+'August'!AI23+'September'!AI23+'Oktober'!AI23+'November'!AI23+'Dezember'!AI23)</f>
      </c>
      <c r="K24" s="26">
        <f>IF(B24="","",'Januar'!AJ23+'Februar'!AJ23+'März'!AJ23+'April'!AJ23+'Mai'!AJ23+'Juni'!AJ23+'Juli'!AJ23+'August'!AJ23+'September'!AJ23+'Oktober'!AJ23+'November'!AJ23+'Dezember'!AJ23)</f>
      </c>
      <c r="L24" s="9"/>
    </row>
    <row r="25" ht="17" customHeight="1" spans="1:12" x14ac:dyDescent="0.25">
      <c r="A25" s="21">
        <v>18</v>
      </c>
      <c r="B25" s="9"/>
      <c r="C25" s="22"/>
      <c r="D25" s="22"/>
      <c r="E25" s="23">
        <f>IF(B25="","",N(C25)+N(D25))</f>
      </c>
      <c r="F25" s="23">
        <f>IF(B25="","",'Januar'!AG24+'Februar'!AG24+'März'!AG24+'April'!AG24+'Mai'!AG24+'Juni'!AG24+'Juli'!AG24+'August'!AG24+'September'!AG24+'Oktober'!AG24+'November'!AG24+'Dezember'!AG24)</f>
      </c>
      <c r="G25" s="24">
        <f>IF(B25="","",E25-F25)</f>
      </c>
      <c r="H25" s="25">
        <f>IF(B25="","",MAX(0,N(D25)-('Januar'!AG24+'Februar'!AG24+'März'!AG24)))</f>
      </c>
      <c r="I25" s="26">
        <f>IF(B25="","",'Januar'!AH24+'Februar'!AH24+'März'!AH24+'April'!AH24+'Mai'!AH24+'Juni'!AH24+'Juli'!AH24+'August'!AH24+'September'!AH24+'Oktober'!AH24+'November'!AH24+'Dezember'!AH24)</f>
      </c>
      <c r="J25" s="26">
        <f>IF(B25="","",'Januar'!AI24+'Februar'!AI24+'März'!AI24+'April'!AI24+'Mai'!AI24+'Juni'!AI24+'Juli'!AI24+'August'!AI24+'September'!AI24+'Oktober'!AI24+'November'!AI24+'Dezember'!AI24)</f>
      </c>
      <c r="K25" s="26">
        <f>IF(B25="","",'Januar'!AJ24+'Februar'!AJ24+'März'!AJ24+'April'!AJ24+'Mai'!AJ24+'Juni'!AJ24+'Juli'!AJ24+'August'!AJ24+'September'!AJ24+'Oktober'!AJ24+'November'!AJ24+'Dezember'!AJ24)</f>
      </c>
      <c r="L25" s="9"/>
    </row>
    <row r="26" ht="17" customHeight="1" spans="1:12" x14ac:dyDescent="0.25">
      <c r="A26" s="21">
        <v>19</v>
      </c>
      <c r="B26" s="9"/>
      <c r="C26" s="22"/>
      <c r="D26" s="22"/>
      <c r="E26" s="23">
        <f>IF(B26="","",N(C26)+N(D26))</f>
      </c>
      <c r="F26" s="23">
        <f>IF(B26="","",'Januar'!AG25+'Februar'!AG25+'März'!AG25+'April'!AG25+'Mai'!AG25+'Juni'!AG25+'Juli'!AG25+'August'!AG25+'September'!AG25+'Oktober'!AG25+'November'!AG25+'Dezember'!AG25)</f>
      </c>
      <c r="G26" s="24">
        <f>IF(B26="","",E26-F26)</f>
      </c>
      <c r="H26" s="25">
        <f>IF(B26="","",MAX(0,N(D26)-('Januar'!AG25+'Februar'!AG25+'März'!AG25)))</f>
      </c>
      <c r="I26" s="26">
        <f>IF(B26="","",'Januar'!AH25+'Februar'!AH25+'März'!AH25+'April'!AH25+'Mai'!AH25+'Juni'!AH25+'Juli'!AH25+'August'!AH25+'September'!AH25+'Oktober'!AH25+'November'!AH25+'Dezember'!AH25)</f>
      </c>
      <c r="J26" s="26">
        <f>IF(B26="","",'Januar'!AI25+'Februar'!AI25+'März'!AI25+'April'!AI25+'Mai'!AI25+'Juni'!AI25+'Juli'!AI25+'August'!AI25+'September'!AI25+'Oktober'!AI25+'November'!AI25+'Dezember'!AI25)</f>
      </c>
      <c r="K26" s="26">
        <f>IF(B26="","",'Januar'!AJ25+'Februar'!AJ25+'März'!AJ25+'April'!AJ25+'Mai'!AJ25+'Juni'!AJ25+'Juli'!AJ25+'August'!AJ25+'September'!AJ25+'Oktober'!AJ25+'November'!AJ25+'Dezember'!AJ25)</f>
      </c>
      <c r="L26" s="9"/>
    </row>
    <row r="27" ht="17" customHeight="1" spans="1:12" x14ac:dyDescent="0.25">
      <c r="A27" s="21">
        <v>20</v>
      </c>
      <c r="B27" s="9"/>
      <c r="C27" s="22"/>
      <c r="D27" s="22"/>
      <c r="E27" s="23">
        <f>IF(B27="","",N(C27)+N(D27))</f>
      </c>
      <c r="F27" s="23">
        <f>IF(B27="","",'Januar'!AG26+'Februar'!AG26+'März'!AG26+'April'!AG26+'Mai'!AG26+'Juni'!AG26+'Juli'!AG26+'August'!AG26+'September'!AG26+'Oktober'!AG26+'November'!AG26+'Dezember'!AG26)</f>
      </c>
      <c r="G27" s="24">
        <f>IF(B27="","",E27-F27)</f>
      </c>
      <c r="H27" s="25">
        <f>IF(B27="","",MAX(0,N(D27)-('Januar'!AG26+'Februar'!AG26+'März'!AG26)))</f>
      </c>
      <c r="I27" s="26">
        <f>IF(B27="","",'Januar'!AH26+'Februar'!AH26+'März'!AH26+'April'!AH26+'Mai'!AH26+'Juni'!AH26+'Juli'!AH26+'August'!AH26+'September'!AH26+'Oktober'!AH26+'November'!AH26+'Dezember'!AH26)</f>
      </c>
      <c r="J27" s="26">
        <f>IF(B27="","",'Januar'!AI26+'Februar'!AI26+'März'!AI26+'April'!AI26+'Mai'!AI26+'Juni'!AI26+'Juli'!AI26+'August'!AI26+'September'!AI26+'Oktober'!AI26+'November'!AI26+'Dezember'!AI26)</f>
      </c>
      <c r="K27" s="26">
        <f>IF(B27="","",'Januar'!AJ26+'Februar'!AJ26+'März'!AJ26+'April'!AJ26+'Mai'!AJ26+'Juni'!AJ26+'Juli'!AJ26+'August'!AJ26+'September'!AJ26+'Oktober'!AJ26+'November'!AJ26+'Dezember'!AJ26)</f>
      </c>
      <c r="L27" s="9"/>
    </row>
    <row r="28" ht="17" customHeight="1" spans="1:12" x14ac:dyDescent="0.25">
      <c r="A28" s="21">
        <v>21</v>
      </c>
      <c r="B28" s="9"/>
      <c r="C28" s="22"/>
      <c r="D28" s="22"/>
      <c r="E28" s="23">
        <f>IF(B28="","",N(C28)+N(D28))</f>
      </c>
      <c r="F28" s="23">
        <f>IF(B28="","",'Januar'!AG27+'Februar'!AG27+'März'!AG27+'April'!AG27+'Mai'!AG27+'Juni'!AG27+'Juli'!AG27+'August'!AG27+'September'!AG27+'Oktober'!AG27+'November'!AG27+'Dezember'!AG27)</f>
      </c>
      <c r="G28" s="24">
        <f>IF(B28="","",E28-F28)</f>
      </c>
      <c r="H28" s="25">
        <f>IF(B28="","",MAX(0,N(D28)-('Januar'!AG27+'Februar'!AG27+'März'!AG27)))</f>
      </c>
      <c r="I28" s="26">
        <f>IF(B28="","",'Januar'!AH27+'Februar'!AH27+'März'!AH27+'April'!AH27+'Mai'!AH27+'Juni'!AH27+'Juli'!AH27+'August'!AH27+'September'!AH27+'Oktober'!AH27+'November'!AH27+'Dezember'!AH27)</f>
      </c>
      <c r="J28" s="26">
        <f>IF(B28="","",'Januar'!AI27+'Februar'!AI27+'März'!AI27+'April'!AI27+'Mai'!AI27+'Juni'!AI27+'Juli'!AI27+'August'!AI27+'September'!AI27+'Oktober'!AI27+'November'!AI27+'Dezember'!AI27)</f>
      </c>
      <c r="K28" s="26">
        <f>IF(B28="","",'Januar'!AJ27+'Februar'!AJ27+'März'!AJ27+'April'!AJ27+'Mai'!AJ27+'Juni'!AJ27+'Juli'!AJ27+'August'!AJ27+'September'!AJ27+'Oktober'!AJ27+'November'!AJ27+'Dezember'!AJ27)</f>
      </c>
      <c r="L28" s="9"/>
    </row>
    <row r="29" ht="17" customHeight="1" spans="1:12" x14ac:dyDescent="0.25">
      <c r="A29" s="21">
        <v>22</v>
      </c>
      <c r="B29" s="9"/>
      <c r="C29" s="22"/>
      <c r="D29" s="22"/>
      <c r="E29" s="23">
        <f>IF(B29="","",N(C29)+N(D29))</f>
      </c>
      <c r="F29" s="23">
        <f>IF(B29="","",'Januar'!AG28+'Februar'!AG28+'März'!AG28+'April'!AG28+'Mai'!AG28+'Juni'!AG28+'Juli'!AG28+'August'!AG28+'September'!AG28+'Oktober'!AG28+'November'!AG28+'Dezember'!AG28)</f>
      </c>
      <c r="G29" s="24">
        <f>IF(B29="","",E29-F29)</f>
      </c>
      <c r="H29" s="25">
        <f>IF(B29="","",MAX(0,N(D29)-('Januar'!AG28+'Februar'!AG28+'März'!AG28)))</f>
      </c>
      <c r="I29" s="26">
        <f>IF(B29="","",'Januar'!AH28+'Februar'!AH28+'März'!AH28+'April'!AH28+'Mai'!AH28+'Juni'!AH28+'Juli'!AH28+'August'!AH28+'September'!AH28+'Oktober'!AH28+'November'!AH28+'Dezember'!AH28)</f>
      </c>
      <c r="J29" s="26">
        <f>IF(B29="","",'Januar'!AI28+'Februar'!AI28+'März'!AI28+'April'!AI28+'Mai'!AI28+'Juni'!AI28+'Juli'!AI28+'August'!AI28+'September'!AI28+'Oktober'!AI28+'November'!AI28+'Dezember'!AI28)</f>
      </c>
      <c r="K29" s="26">
        <f>IF(B29="","",'Januar'!AJ28+'Februar'!AJ28+'März'!AJ28+'April'!AJ28+'Mai'!AJ28+'Juni'!AJ28+'Juli'!AJ28+'August'!AJ28+'September'!AJ28+'Oktober'!AJ28+'November'!AJ28+'Dezember'!AJ28)</f>
      </c>
      <c r="L29" s="9"/>
    </row>
    <row r="30" ht="17" customHeight="1" spans="1:12" x14ac:dyDescent="0.25">
      <c r="A30" s="21">
        <v>23</v>
      </c>
      <c r="B30" s="9"/>
      <c r="C30" s="22"/>
      <c r="D30" s="22"/>
      <c r="E30" s="23">
        <f>IF(B30="","",N(C30)+N(D30))</f>
      </c>
      <c r="F30" s="23">
        <f>IF(B30="","",'Januar'!AG29+'Februar'!AG29+'März'!AG29+'April'!AG29+'Mai'!AG29+'Juni'!AG29+'Juli'!AG29+'August'!AG29+'September'!AG29+'Oktober'!AG29+'November'!AG29+'Dezember'!AG29)</f>
      </c>
      <c r="G30" s="24">
        <f>IF(B30="","",E30-F30)</f>
      </c>
      <c r="H30" s="25">
        <f>IF(B30="","",MAX(0,N(D30)-('Januar'!AG29+'Februar'!AG29+'März'!AG29)))</f>
      </c>
      <c r="I30" s="26">
        <f>IF(B30="","",'Januar'!AH29+'Februar'!AH29+'März'!AH29+'April'!AH29+'Mai'!AH29+'Juni'!AH29+'Juli'!AH29+'August'!AH29+'September'!AH29+'Oktober'!AH29+'November'!AH29+'Dezember'!AH29)</f>
      </c>
      <c r="J30" s="26">
        <f>IF(B30="","",'Januar'!AI29+'Februar'!AI29+'März'!AI29+'April'!AI29+'Mai'!AI29+'Juni'!AI29+'Juli'!AI29+'August'!AI29+'September'!AI29+'Oktober'!AI29+'November'!AI29+'Dezember'!AI29)</f>
      </c>
      <c r="K30" s="26">
        <f>IF(B30="","",'Januar'!AJ29+'Februar'!AJ29+'März'!AJ29+'April'!AJ29+'Mai'!AJ29+'Juni'!AJ29+'Juli'!AJ29+'August'!AJ29+'September'!AJ29+'Oktober'!AJ29+'November'!AJ29+'Dezember'!AJ29)</f>
      </c>
      <c r="L30" s="9"/>
    </row>
    <row r="31" ht="17" customHeight="1" spans="1:12" x14ac:dyDescent="0.25">
      <c r="A31" s="21">
        <v>24</v>
      </c>
      <c r="B31" s="9"/>
      <c r="C31" s="22"/>
      <c r="D31" s="22"/>
      <c r="E31" s="23">
        <f>IF(B31="","",N(C31)+N(D31))</f>
      </c>
      <c r="F31" s="23">
        <f>IF(B31="","",'Januar'!AG30+'Februar'!AG30+'März'!AG30+'April'!AG30+'Mai'!AG30+'Juni'!AG30+'Juli'!AG30+'August'!AG30+'September'!AG30+'Oktober'!AG30+'November'!AG30+'Dezember'!AG30)</f>
      </c>
      <c r="G31" s="24">
        <f>IF(B31="","",E31-F31)</f>
      </c>
      <c r="H31" s="25">
        <f>IF(B31="","",MAX(0,N(D31)-('Januar'!AG30+'Februar'!AG30+'März'!AG30)))</f>
      </c>
      <c r="I31" s="26">
        <f>IF(B31="","",'Januar'!AH30+'Februar'!AH30+'März'!AH30+'April'!AH30+'Mai'!AH30+'Juni'!AH30+'Juli'!AH30+'August'!AH30+'September'!AH30+'Oktober'!AH30+'November'!AH30+'Dezember'!AH30)</f>
      </c>
      <c r="J31" s="26">
        <f>IF(B31="","",'Januar'!AI30+'Februar'!AI30+'März'!AI30+'April'!AI30+'Mai'!AI30+'Juni'!AI30+'Juli'!AI30+'August'!AI30+'September'!AI30+'Oktober'!AI30+'November'!AI30+'Dezember'!AI30)</f>
      </c>
      <c r="K31" s="26">
        <f>IF(B31="","",'Januar'!AJ30+'Februar'!AJ30+'März'!AJ30+'April'!AJ30+'Mai'!AJ30+'Juni'!AJ30+'Juli'!AJ30+'August'!AJ30+'September'!AJ30+'Oktober'!AJ30+'November'!AJ30+'Dezember'!AJ30)</f>
      </c>
      <c r="L31" s="9"/>
    </row>
    <row r="32" ht="17" customHeight="1" spans="1:12" x14ac:dyDescent="0.25">
      <c r="A32" s="21">
        <v>25</v>
      </c>
      <c r="B32" s="9"/>
      <c r="C32" s="22"/>
      <c r="D32" s="22"/>
      <c r="E32" s="23">
        <f>IF(B32="","",N(C32)+N(D32))</f>
      </c>
      <c r="F32" s="23">
        <f>IF(B32="","",'Januar'!AG31+'Februar'!AG31+'März'!AG31+'April'!AG31+'Mai'!AG31+'Juni'!AG31+'Juli'!AG31+'August'!AG31+'September'!AG31+'Oktober'!AG31+'November'!AG31+'Dezember'!AG31)</f>
      </c>
      <c r="G32" s="24">
        <f>IF(B32="","",E32-F32)</f>
      </c>
      <c r="H32" s="25">
        <f>IF(B32="","",MAX(0,N(D32)-('Januar'!AG31+'Februar'!AG31+'März'!AG31)))</f>
      </c>
      <c r="I32" s="26">
        <f>IF(B32="","",'Januar'!AH31+'Februar'!AH31+'März'!AH31+'April'!AH31+'Mai'!AH31+'Juni'!AH31+'Juli'!AH31+'August'!AH31+'September'!AH31+'Oktober'!AH31+'November'!AH31+'Dezember'!AH31)</f>
      </c>
      <c r="J32" s="26">
        <f>IF(B32="","",'Januar'!AI31+'Februar'!AI31+'März'!AI31+'April'!AI31+'Mai'!AI31+'Juni'!AI31+'Juli'!AI31+'August'!AI31+'September'!AI31+'Oktober'!AI31+'November'!AI31+'Dezember'!AI31)</f>
      </c>
      <c r="K32" s="26">
        <f>IF(B32="","",'Januar'!AJ31+'Februar'!AJ31+'März'!AJ31+'April'!AJ31+'Mai'!AJ31+'Juni'!AJ31+'Juli'!AJ31+'August'!AJ31+'September'!AJ31+'Oktober'!AJ31+'November'!AJ31+'Dezember'!AJ31)</f>
      </c>
      <c r="L32" s="9"/>
    </row>
    <row r="33" ht="18" customHeight="1" spans="1:12" x14ac:dyDescent="0.25">
      <c r="A33" s="27" t="s">
        <v>40</v>
      </c>
      <c r="B33" s="27"/>
      <c r="C33" s="24">
        <f>SUM(C8:C32)</f>
      </c>
      <c r="D33" s="24">
        <f>SUM(D8:D32)</f>
      </c>
      <c r="E33" s="24">
        <f>SUM(E8:E32)</f>
      </c>
      <c r="F33" s="24">
        <f>SUM(F8:F32)</f>
      </c>
      <c r="G33" s="24">
        <f>SUM(G8:G32)</f>
      </c>
      <c r="H33" s="24">
        <f>SUM(H8:H32)</f>
      </c>
      <c r="I33" s="24">
        <f>SUM(I8:I32)</f>
      </c>
      <c r="J33" s="24">
        <f>SUM(J8:J32)</f>
      </c>
      <c r="K33" s="24">
        <f>SUM(K8:K32)</f>
      </c>
      <c r="L33" s="27"/>
    </row>
  </sheetData>
  <mergeCells count="8">
    <mergeCell ref="A1:L1"/>
    <mergeCell ref="A2:L2"/>
    <mergeCell ref="A3:B3"/>
    <mergeCell ref="C3:D3"/>
    <mergeCell ref="A5:B5"/>
    <mergeCell ref="E5:F5"/>
    <mergeCell ref="G5:I5"/>
    <mergeCell ref="A33:B33"/>
  </mergeCells>
  <conditionalFormatting sqref="G8:G32">
    <cfRule type="expression" dxfId="0" priority="1">
      <formula>AND(ISNUMBER(G8),G8&lt;0)</formula>
    </cfRule>
  </conditionalFormatting>
  <conditionalFormatting sqref="H8:H32">
    <cfRule type="expression" dxfId="1" priority="2">
      <formula>AND(ISNUMBER(H8),H8&gt;0)</formula>
    </cfRule>
  </conditionalFormatting>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DATE(Einstellungen!$B$5,1,1)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DATE(Einstellungen!$B$5,1,1)+0</f>
      </c>
      <c r="C4" s="38">
        <f>DATE(Einstellungen!$B$5,1,1)+1</f>
      </c>
      <c r="D4" s="38">
        <f>DATE(Einstellungen!$B$5,1,1)+2</f>
      </c>
      <c r="E4" s="38">
        <f>DATE(Einstellungen!$B$5,1,1)+3</f>
      </c>
      <c r="F4" s="38">
        <f>DATE(Einstellungen!$B$5,1,1)+4</f>
      </c>
      <c r="G4" s="38">
        <f>DATE(Einstellungen!$B$5,1,1)+5</f>
      </c>
      <c r="H4" s="38">
        <f>DATE(Einstellungen!$B$5,1,1)+6</f>
      </c>
      <c r="I4" s="38">
        <f>DATE(Einstellungen!$B$5,1,1)+7</f>
      </c>
      <c r="J4" s="38">
        <f>DATE(Einstellungen!$B$5,1,1)+8</f>
      </c>
      <c r="K4" s="38">
        <f>DATE(Einstellungen!$B$5,1,1)+9</f>
      </c>
      <c r="L4" s="38">
        <f>DATE(Einstellungen!$B$5,1,1)+10</f>
      </c>
      <c r="M4" s="38">
        <f>DATE(Einstellungen!$B$5,1,1)+11</f>
      </c>
      <c r="N4" s="38">
        <f>DATE(Einstellungen!$B$5,1,1)+12</f>
      </c>
      <c r="O4" s="38">
        <f>DATE(Einstellungen!$B$5,1,1)+13</f>
      </c>
      <c r="P4" s="38">
        <f>DATE(Einstellungen!$B$5,1,1)+14</f>
      </c>
      <c r="Q4" s="38">
        <f>DATE(Einstellungen!$B$5,1,1)+15</f>
      </c>
      <c r="R4" s="38">
        <f>DATE(Einstellungen!$B$5,1,1)+16</f>
      </c>
      <c r="S4" s="38">
        <f>DATE(Einstellungen!$B$5,1,1)+17</f>
      </c>
      <c r="T4" s="38">
        <f>DATE(Einstellungen!$B$5,1,1)+18</f>
      </c>
      <c r="U4" s="38">
        <f>DATE(Einstellungen!$B$5,1,1)+19</f>
      </c>
      <c r="V4" s="38">
        <f>DATE(Einstellungen!$B$5,1,1)+20</f>
      </c>
      <c r="W4" s="38">
        <f>DATE(Einstellungen!$B$5,1,1)+21</f>
      </c>
      <c r="X4" s="38">
        <f>DATE(Einstellungen!$B$5,1,1)+22</f>
      </c>
      <c r="Y4" s="38">
        <f>DATE(Einstellungen!$B$5,1,1)+23</f>
      </c>
      <c r="Z4" s="38">
        <f>DATE(Einstellungen!$B$5,1,1)+24</f>
      </c>
      <c r="AA4" s="38">
        <f>DATE(Einstellungen!$B$5,1,1)+25</f>
      </c>
      <c r="AB4" s="38">
        <f>DATE(Einstellungen!$B$5,1,1)+26</f>
      </c>
      <c r="AC4" s="38">
        <f>DATE(Einstellungen!$B$5,1,1)+27</f>
      </c>
      <c r="AD4" s="38">
        <f>IF(29&lt;=DAY(EOMONTH(DATE(Einstellungen!$B$5,1,1),0)),DATE(Einstellungen!$B$5,1,1)+28,"")</f>
      </c>
      <c r="AE4" s="38">
        <f>IF(30&lt;=DAY(EOMONTH(DATE(Einstellungen!$B$5,1,1),0)),DATE(Einstellungen!$B$5,1,1)+29,"")</f>
      </c>
      <c r="AF4" s="38">
        <f>IF(31&lt;=DAY(EOMONTH(DATE(Einstellungen!$B$5,1,1),0)),DATE(Einstellungen!$B$5,1,1)+30,"")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2" priority="1">
      <formula>B$4=""</formula>
    </cfRule>
    <cfRule type="expression" dxfId="3" priority="2">
      <formula>B$6&lt;&gt;1</formula>
    </cfRule>
  </conditionalFormatting>
  <conditionalFormatting sqref="B7:AF31">
    <cfRule type="expression" dxfId="4" priority="3">
      <formula>B7="U"</formula>
    </cfRule>
    <cfRule type="expression" dxfId="5" priority="4">
      <formula>B7="H"</formula>
    </cfRule>
    <cfRule type="expression" dxfId="6" priority="5">
      <formula>B7="K"</formula>
    </cfRule>
    <cfRule type="expression" dxfId="7" priority="6">
      <formula>B7="S"</formula>
    </cfRule>
    <cfRule type="expression" dxfId="8"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DATE(Einstellungen!$B$5,2,1)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DATE(Einstellungen!$B$5,2,1)+0</f>
      </c>
      <c r="C4" s="38">
        <f>DATE(Einstellungen!$B$5,2,1)+1</f>
      </c>
      <c r="D4" s="38">
        <f>DATE(Einstellungen!$B$5,2,1)+2</f>
      </c>
      <c r="E4" s="38">
        <f>DATE(Einstellungen!$B$5,2,1)+3</f>
      </c>
      <c r="F4" s="38">
        <f>DATE(Einstellungen!$B$5,2,1)+4</f>
      </c>
      <c r="G4" s="38">
        <f>DATE(Einstellungen!$B$5,2,1)+5</f>
      </c>
      <c r="H4" s="38">
        <f>DATE(Einstellungen!$B$5,2,1)+6</f>
      </c>
      <c r="I4" s="38">
        <f>DATE(Einstellungen!$B$5,2,1)+7</f>
      </c>
      <c r="J4" s="38">
        <f>DATE(Einstellungen!$B$5,2,1)+8</f>
      </c>
      <c r="K4" s="38">
        <f>DATE(Einstellungen!$B$5,2,1)+9</f>
      </c>
      <c r="L4" s="38">
        <f>DATE(Einstellungen!$B$5,2,1)+10</f>
      </c>
      <c r="M4" s="38">
        <f>DATE(Einstellungen!$B$5,2,1)+11</f>
      </c>
      <c r="N4" s="38">
        <f>DATE(Einstellungen!$B$5,2,1)+12</f>
      </c>
      <c r="O4" s="38">
        <f>DATE(Einstellungen!$B$5,2,1)+13</f>
      </c>
      <c r="P4" s="38">
        <f>DATE(Einstellungen!$B$5,2,1)+14</f>
      </c>
      <c r="Q4" s="38">
        <f>DATE(Einstellungen!$B$5,2,1)+15</f>
      </c>
      <c r="R4" s="38">
        <f>DATE(Einstellungen!$B$5,2,1)+16</f>
      </c>
      <c r="S4" s="38">
        <f>DATE(Einstellungen!$B$5,2,1)+17</f>
      </c>
      <c r="T4" s="38">
        <f>DATE(Einstellungen!$B$5,2,1)+18</f>
      </c>
      <c r="U4" s="38">
        <f>DATE(Einstellungen!$B$5,2,1)+19</f>
      </c>
      <c r="V4" s="38">
        <f>DATE(Einstellungen!$B$5,2,1)+20</f>
      </c>
      <c r="W4" s="38">
        <f>DATE(Einstellungen!$B$5,2,1)+21</f>
      </c>
      <c r="X4" s="38">
        <f>DATE(Einstellungen!$B$5,2,1)+22</f>
      </c>
      <c r="Y4" s="38">
        <f>DATE(Einstellungen!$B$5,2,1)+23</f>
      </c>
      <c r="Z4" s="38">
        <f>DATE(Einstellungen!$B$5,2,1)+24</f>
      </c>
      <c r="AA4" s="38">
        <f>DATE(Einstellungen!$B$5,2,1)+25</f>
      </c>
      <c r="AB4" s="38">
        <f>DATE(Einstellungen!$B$5,2,1)+26</f>
      </c>
      <c r="AC4" s="38">
        <f>DATE(Einstellungen!$B$5,2,1)+27</f>
      </c>
      <c r="AD4" s="38">
        <f>IF(29&lt;=DAY(EOMONTH(DATE(Einstellungen!$B$5,2,1),0)),DATE(Einstellungen!$B$5,2,1)+28,"")</f>
      </c>
      <c r="AE4" s="38">
        <f>IF(30&lt;=DAY(EOMONTH(DATE(Einstellungen!$B$5,2,1),0)),DATE(Einstellungen!$B$5,2,1)+29,"")</f>
      </c>
      <c r="AF4" s="38">
        <f>IF(31&lt;=DAY(EOMONTH(DATE(Einstellungen!$B$5,2,1),0)),DATE(Einstellungen!$B$5,2,1)+30,"")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9" priority="1">
      <formula>B$4=""</formula>
    </cfRule>
    <cfRule type="expression" dxfId="10" priority="2">
      <formula>B$6&lt;&gt;1</formula>
    </cfRule>
  </conditionalFormatting>
  <conditionalFormatting sqref="B7:AF31">
    <cfRule type="expression" dxfId="11" priority="3">
      <formula>B7="U"</formula>
    </cfRule>
    <cfRule type="expression" dxfId="12" priority="4">
      <formula>B7="H"</formula>
    </cfRule>
    <cfRule type="expression" dxfId="13" priority="5">
      <formula>B7="K"</formula>
    </cfRule>
    <cfRule type="expression" dxfId="14" priority="6">
      <formula>B7="S"</formula>
    </cfRule>
    <cfRule type="expression" dxfId="15"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DATE(Einstellungen!$B$5,3,1)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DATE(Einstellungen!$B$5,3,1)+0</f>
      </c>
      <c r="C4" s="38">
        <f>DATE(Einstellungen!$B$5,3,1)+1</f>
      </c>
      <c r="D4" s="38">
        <f>DATE(Einstellungen!$B$5,3,1)+2</f>
      </c>
      <c r="E4" s="38">
        <f>DATE(Einstellungen!$B$5,3,1)+3</f>
      </c>
      <c r="F4" s="38">
        <f>DATE(Einstellungen!$B$5,3,1)+4</f>
      </c>
      <c r="G4" s="38">
        <f>DATE(Einstellungen!$B$5,3,1)+5</f>
      </c>
      <c r="H4" s="38">
        <f>DATE(Einstellungen!$B$5,3,1)+6</f>
      </c>
      <c r="I4" s="38">
        <f>DATE(Einstellungen!$B$5,3,1)+7</f>
      </c>
      <c r="J4" s="38">
        <f>DATE(Einstellungen!$B$5,3,1)+8</f>
      </c>
      <c r="K4" s="38">
        <f>DATE(Einstellungen!$B$5,3,1)+9</f>
      </c>
      <c r="L4" s="38">
        <f>DATE(Einstellungen!$B$5,3,1)+10</f>
      </c>
      <c r="M4" s="38">
        <f>DATE(Einstellungen!$B$5,3,1)+11</f>
      </c>
      <c r="N4" s="38">
        <f>DATE(Einstellungen!$B$5,3,1)+12</f>
      </c>
      <c r="O4" s="38">
        <f>DATE(Einstellungen!$B$5,3,1)+13</f>
      </c>
      <c r="P4" s="38">
        <f>DATE(Einstellungen!$B$5,3,1)+14</f>
      </c>
      <c r="Q4" s="38">
        <f>DATE(Einstellungen!$B$5,3,1)+15</f>
      </c>
      <c r="R4" s="38">
        <f>DATE(Einstellungen!$B$5,3,1)+16</f>
      </c>
      <c r="S4" s="38">
        <f>DATE(Einstellungen!$B$5,3,1)+17</f>
      </c>
      <c r="T4" s="38">
        <f>DATE(Einstellungen!$B$5,3,1)+18</f>
      </c>
      <c r="U4" s="38">
        <f>DATE(Einstellungen!$B$5,3,1)+19</f>
      </c>
      <c r="V4" s="38">
        <f>DATE(Einstellungen!$B$5,3,1)+20</f>
      </c>
      <c r="W4" s="38">
        <f>DATE(Einstellungen!$B$5,3,1)+21</f>
      </c>
      <c r="X4" s="38">
        <f>DATE(Einstellungen!$B$5,3,1)+22</f>
      </c>
      <c r="Y4" s="38">
        <f>DATE(Einstellungen!$B$5,3,1)+23</f>
      </c>
      <c r="Z4" s="38">
        <f>DATE(Einstellungen!$B$5,3,1)+24</f>
      </c>
      <c r="AA4" s="38">
        <f>DATE(Einstellungen!$B$5,3,1)+25</f>
      </c>
      <c r="AB4" s="38">
        <f>DATE(Einstellungen!$B$5,3,1)+26</f>
      </c>
      <c r="AC4" s="38">
        <f>DATE(Einstellungen!$B$5,3,1)+27</f>
      </c>
      <c r="AD4" s="38">
        <f>IF(29&lt;=DAY(EOMONTH(DATE(Einstellungen!$B$5,3,1),0)),DATE(Einstellungen!$B$5,3,1)+28,"")</f>
      </c>
      <c r="AE4" s="38">
        <f>IF(30&lt;=DAY(EOMONTH(DATE(Einstellungen!$B$5,3,1),0)),DATE(Einstellungen!$B$5,3,1)+29,"")</f>
      </c>
      <c r="AF4" s="38">
        <f>IF(31&lt;=DAY(EOMONTH(DATE(Einstellungen!$B$5,3,1),0)),DATE(Einstellungen!$B$5,3,1)+30,"")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16" priority="1">
      <formula>B$4=""</formula>
    </cfRule>
    <cfRule type="expression" dxfId="17" priority="2">
      <formula>B$6&lt;&gt;1</formula>
    </cfRule>
  </conditionalFormatting>
  <conditionalFormatting sqref="B7:AF31">
    <cfRule type="expression" dxfId="18" priority="3">
      <formula>B7="U"</formula>
    </cfRule>
    <cfRule type="expression" dxfId="19" priority="4">
      <formula>B7="H"</formula>
    </cfRule>
    <cfRule type="expression" dxfId="20" priority="5">
      <formula>B7="K"</formula>
    </cfRule>
    <cfRule type="expression" dxfId="21" priority="6">
      <formula>B7="S"</formula>
    </cfRule>
    <cfRule type="expression" dxfId="22"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DATE(Einstellungen!$B$5,4,1)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DATE(Einstellungen!$B$5,4,1)+0</f>
      </c>
      <c r="C4" s="38">
        <f>DATE(Einstellungen!$B$5,4,1)+1</f>
      </c>
      <c r="D4" s="38">
        <f>DATE(Einstellungen!$B$5,4,1)+2</f>
      </c>
      <c r="E4" s="38">
        <f>DATE(Einstellungen!$B$5,4,1)+3</f>
      </c>
      <c r="F4" s="38">
        <f>DATE(Einstellungen!$B$5,4,1)+4</f>
      </c>
      <c r="G4" s="38">
        <f>DATE(Einstellungen!$B$5,4,1)+5</f>
      </c>
      <c r="H4" s="38">
        <f>DATE(Einstellungen!$B$5,4,1)+6</f>
      </c>
      <c r="I4" s="38">
        <f>DATE(Einstellungen!$B$5,4,1)+7</f>
      </c>
      <c r="J4" s="38">
        <f>DATE(Einstellungen!$B$5,4,1)+8</f>
      </c>
      <c r="K4" s="38">
        <f>DATE(Einstellungen!$B$5,4,1)+9</f>
      </c>
      <c r="L4" s="38">
        <f>DATE(Einstellungen!$B$5,4,1)+10</f>
      </c>
      <c r="M4" s="38">
        <f>DATE(Einstellungen!$B$5,4,1)+11</f>
      </c>
      <c r="N4" s="38">
        <f>DATE(Einstellungen!$B$5,4,1)+12</f>
      </c>
      <c r="O4" s="38">
        <f>DATE(Einstellungen!$B$5,4,1)+13</f>
      </c>
      <c r="P4" s="38">
        <f>DATE(Einstellungen!$B$5,4,1)+14</f>
      </c>
      <c r="Q4" s="38">
        <f>DATE(Einstellungen!$B$5,4,1)+15</f>
      </c>
      <c r="R4" s="38">
        <f>DATE(Einstellungen!$B$5,4,1)+16</f>
      </c>
      <c r="S4" s="38">
        <f>DATE(Einstellungen!$B$5,4,1)+17</f>
      </c>
      <c r="T4" s="38">
        <f>DATE(Einstellungen!$B$5,4,1)+18</f>
      </c>
      <c r="U4" s="38">
        <f>DATE(Einstellungen!$B$5,4,1)+19</f>
      </c>
      <c r="V4" s="38">
        <f>DATE(Einstellungen!$B$5,4,1)+20</f>
      </c>
      <c r="W4" s="38">
        <f>DATE(Einstellungen!$B$5,4,1)+21</f>
      </c>
      <c r="X4" s="38">
        <f>DATE(Einstellungen!$B$5,4,1)+22</f>
      </c>
      <c r="Y4" s="38">
        <f>DATE(Einstellungen!$B$5,4,1)+23</f>
      </c>
      <c r="Z4" s="38">
        <f>DATE(Einstellungen!$B$5,4,1)+24</f>
      </c>
      <c r="AA4" s="38">
        <f>DATE(Einstellungen!$B$5,4,1)+25</f>
      </c>
      <c r="AB4" s="38">
        <f>DATE(Einstellungen!$B$5,4,1)+26</f>
      </c>
      <c r="AC4" s="38">
        <f>DATE(Einstellungen!$B$5,4,1)+27</f>
      </c>
      <c r="AD4" s="38">
        <f>IF(29&lt;=DAY(EOMONTH(DATE(Einstellungen!$B$5,4,1),0)),DATE(Einstellungen!$B$5,4,1)+28,"")</f>
      </c>
      <c r="AE4" s="38">
        <f>IF(30&lt;=DAY(EOMONTH(DATE(Einstellungen!$B$5,4,1),0)),DATE(Einstellungen!$B$5,4,1)+29,"")</f>
      </c>
      <c r="AF4" s="38">
        <f>IF(31&lt;=DAY(EOMONTH(DATE(Einstellungen!$B$5,4,1),0)),DATE(Einstellungen!$B$5,4,1)+30,"")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23" priority="1">
      <formula>B$4=""</formula>
    </cfRule>
    <cfRule type="expression" dxfId="24" priority="2">
      <formula>B$6&lt;&gt;1</formula>
    </cfRule>
  </conditionalFormatting>
  <conditionalFormatting sqref="B7:AF31">
    <cfRule type="expression" dxfId="25" priority="3">
      <formula>B7="U"</formula>
    </cfRule>
    <cfRule type="expression" dxfId="26" priority="4">
      <formula>B7="H"</formula>
    </cfRule>
    <cfRule type="expression" dxfId="27" priority="5">
      <formula>B7="K"</formula>
    </cfRule>
    <cfRule type="expression" dxfId="28" priority="6">
      <formula>B7="S"</formula>
    </cfRule>
    <cfRule type="expression" dxfId="29"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DATE(Einstellungen!$B$5,5,1)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DATE(Einstellungen!$B$5,5,1)+0</f>
      </c>
      <c r="C4" s="38">
        <f>DATE(Einstellungen!$B$5,5,1)+1</f>
      </c>
      <c r="D4" s="38">
        <f>DATE(Einstellungen!$B$5,5,1)+2</f>
      </c>
      <c r="E4" s="38">
        <f>DATE(Einstellungen!$B$5,5,1)+3</f>
      </c>
      <c r="F4" s="38">
        <f>DATE(Einstellungen!$B$5,5,1)+4</f>
      </c>
      <c r="G4" s="38">
        <f>DATE(Einstellungen!$B$5,5,1)+5</f>
      </c>
      <c r="H4" s="38">
        <f>DATE(Einstellungen!$B$5,5,1)+6</f>
      </c>
      <c r="I4" s="38">
        <f>DATE(Einstellungen!$B$5,5,1)+7</f>
      </c>
      <c r="J4" s="38">
        <f>DATE(Einstellungen!$B$5,5,1)+8</f>
      </c>
      <c r="K4" s="38">
        <f>DATE(Einstellungen!$B$5,5,1)+9</f>
      </c>
      <c r="L4" s="38">
        <f>DATE(Einstellungen!$B$5,5,1)+10</f>
      </c>
      <c r="M4" s="38">
        <f>DATE(Einstellungen!$B$5,5,1)+11</f>
      </c>
      <c r="N4" s="38">
        <f>DATE(Einstellungen!$B$5,5,1)+12</f>
      </c>
      <c r="O4" s="38">
        <f>DATE(Einstellungen!$B$5,5,1)+13</f>
      </c>
      <c r="P4" s="38">
        <f>DATE(Einstellungen!$B$5,5,1)+14</f>
      </c>
      <c r="Q4" s="38">
        <f>DATE(Einstellungen!$B$5,5,1)+15</f>
      </c>
      <c r="R4" s="38">
        <f>DATE(Einstellungen!$B$5,5,1)+16</f>
      </c>
      <c r="S4" s="38">
        <f>DATE(Einstellungen!$B$5,5,1)+17</f>
      </c>
      <c r="T4" s="38">
        <f>DATE(Einstellungen!$B$5,5,1)+18</f>
      </c>
      <c r="U4" s="38">
        <f>DATE(Einstellungen!$B$5,5,1)+19</f>
      </c>
      <c r="V4" s="38">
        <f>DATE(Einstellungen!$B$5,5,1)+20</f>
      </c>
      <c r="W4" s="38">
        <f>DATE(Einstellungen!$B$5,5,1)+21</f>
      </c>
      <c r="X4" s="38">
        <f>DATE(Einstellungen!$B$5,5,1)+22</f>
      </c>
      <c r="Y4" s="38">
        <f>DATE(Einstellungen!$B$5,5,1)+23</f>
      </c>
      <c r="Z4" s="38">
        <f>DATE(Einstellungen!$B$5,5,1)+24</f>
      </c>
      <c r="AA4" s="38">
        <f>DATE(Einstellungen!$B$5,5,1)+25</f>
      </c>
      <c r="AB4" s="38">
        <f>DATE(Einstellungen!$B$5,5,1)+26</f>
      </c>
      <c r="AC4" s="38">
        <f>DATE(Einstellungen!$B$5,5,1)+27</f>
      </c>
      <c r="AD4" s="38">
        <f>IF(29&lt;=DAY(EOMONTH(DATE(Einstellungen!$B$5,5,1),0)),DATE(Einstellungen!$B$5,5,1)+28,"")</f>
      </c>
      <c r="AE4" s="38">
        <f>IF(30&lt;=DAY(EOMONTH(DATE(Einstellungen!$B$5,5,1),0)),DATE(Einstellungen!$B$5,5,1)+29,"")</f>
      </c>
      <c r="AF4" s="38">
        <f>IF(31&lt;=DAY(EOMONTH(DATE(Einstellungen!$B$5,5,1),0)),DATE(Einstellungen!$B$5,5,1)+30,"")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30" priority="1">
      <formula>B$4=""</formula>
    </cfRule>
    <cfRule type="expression" dxfId="31" priority="2">
      <formula>B$6&lt;&gt;1</formula>
    </cfRule>
  </conditionalFormatting>
  <conditionalFormatting sqref="B7:AF31">
    <cfRule type="expression" dxfId="32" priority="3">
      <formula>B7="U"</formula>
    </cfRule>
    <cfRule type="expression" dxfId="33" priority="4">
      <formula>B7="H"</formula>
    </cfRule>
    <cfRule type="expression" dxfId="34" priority="5">
      <formula>B7="K"</formula>
    </cfRule>
    <cfRule type="expression" dxfId="35" priority="6">
      <formula>B7="S"</formula>
    </cfRule>
    <cfRule type="expression" dxfId="36"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DATE(Einstellungen!$B$5,6,1)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DATE(Einstellungen!$B$5,6,1)+0</f>
      </c>
      <c r="C4" s="38">
        <f>DATE(Einstellungen!$B$5,6,1)+1</f>
      </c>
      <c r="D4" s="38">
        <f>DATE(Einstellungen!$B$5,6,1)+2</f>
      </c>
      <c r="E4" s="38">
        <f>DATE(Einstellungen!$B$5,6,1)+3</f>
      </c>
      <c r="F4" s="38">
        <f>DATE(Einstellungen!$B$5,6,1)+4</f>
      </c>
      <c r="G4" s="38">
        <f>DATE(Einstellungen!$B$5,6,1)+5</f>
      </c>
      <c r="H4" s="38">
        <f>DATE(Einstellungen!$B$5,6,1)+6</f>
      </c>
      <c r="I4" s="38">
        <f>DATE(Einstellungen!$B$5,6,1)+7</f>
      </c>
      <c r="J4" s="38">
        <f>DATE(Einstellungen!$B$5,6,1)+8</f>
      </c>
      <c r="K4" s="38">
        <f>DATE(Einstellungen!$B$5,6,1)+9</f>
      </c>
      <c r="L4" s="38">
        <f>DATE(Einstellungen!$B$5,6,1)+10</f>
      </c>
      <c r="M4" s="38">
        <f>DATE(Einstellungen!$B$5,6,1)+11</f>
      </c>
      <c r="N4" s="38">
        <f>DATE(Einstellungen!$B$5,6,1)+12</f>
      </c>
      <c r="O4" s="38">
        <f>DATE(Einstellungen!$B$5,6,1)+13</f>
      </c>
      <c r="P4" s="38">
        <f>DATE(Einstellungen!$B$5,6,1)+14</f>
      </c>
      <c r="Q4" s="38">
        <f>DATE(Einstellungen!$B$5,6,1)+15</f>
      </c>
      <c r="R4" s="38">
        <f>DATE(Einstellungen!$B$5,6,1)+16</f>
      </c>
      <c r="S4" s="38">
        <f>DATE(Einstellungen!$B$5,6,1)+17</f>
      </c>
      <c r="T4" s="38">
        <f>DATE(Einstellungen!$B$5,6,1)+18</f>
      </c>
      <c r="U4" s="38">
        <f>DATE(Einstellungen!$B$5,6,1)+19</f>
      </c>
      <c r="V4" s="38">
        <f>DATE(Einstellungen!$B$5,6,1)+20</f>
      </c>
      <c r="W4" s="38">
        <f>DATE(Einstellungen!$B$5,6,1)+21</f>
      </c>
      <c r="X4" s="38">
        <f>DATE(Einstellungen!$B$5,6,1)+22</f>
      </c>
      <c r="Y4" s="38">
        <f>DATE(Einstellungen!$B$5,6,1)+23</f>
      </c>
      <c r="Z4" s="38">
        <f>DATE(Einstellungen!$B$5,6,1)+24</f>
      </c>
      <c r="AA4" s="38">
        <f>DATE(Einstellungen!$B$5,6,1)+25</f>
      </c>
      <c r="AB4" s="38">
        <f>DATE(Einstellungen!$B$5,6,1)+26</f>
      </c>
      <c r="AC4" s="38">
        <f>DATE(Einstellungen!$B$5,6,1)+27</f>
      </c>
      <c r="AD4" s="38">
        <f>IF(29&lt;=DAY(EOMONTH(DATE(Einstellungen!$B$5,6,1),0)),DATE(Einstellungen!$B$5,6,1)+28,"")</f>
      </c>
      <c r="AE4" s="38">
        <f>IF(30&lt;=DAY(EOMONTH(DATE(Einstellungen!$B$5,6,1),0)),DATE(Einstellungen!$B$5,6,1)+29,"")</f>
      </c>
      <c r="AF4" s="38">
        <f>IF(31&lt;=DAY(EOMONTH(DATE(Einstellungen!$B$5,6,1),0)),DATE(Einstellungen!$B$5,6,1)+30,"")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37" priority="1">
      <formula>B$4=""</formula>
    </cfRule>
    <cfRule type="expression" dxfId="38" priority="2">
      <formula>B$6&lt;&gt;1</formula>
    </cfRule>
  </conditionalFormatting>
  <conditionalFormatting sqref="B7:AF31">
    <cfRule type="expression" dxfId="39" priority="3">
      <formula>B7="U"</formula>
    </cfRule>
    <cfRule type="expression" dxfId="40" priority="4">
      <formula>B7="H"</formula>
    </cfRule>
    <cfRule type="expression" dxfId="41" priority="5">
      <formula>B7="K"</formula>
    </cfRule>
    <cfRule type="expression" dxfId="42" priority="6">
      <formula>B7="S"</formula>
    </cfRule>
    <cfRule type="expression" dxfId="43"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DATE(Einstellungen!$B$5,7,1)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DATE(Einstellungen!$B$5,7,1)+0</f>
      </c>
      <c r="C4" s="38">
        <f>DATE(Einstellungen!$B$5,7,1)+1</f>
      </c>
      <c r="D4" s="38">
        <f>DATE(Einstellungen!$B$5,7,1)+2</f>
      </c>
      <c r="E4" s="38">
        <f>DATE(Einstellungen!$B$5,7,1)+3</f>
      </c>
      <c r="F4" s="38">
        <f>DATE(Einstellungen!$B$5,7,1)+4</f>
      </c>
      <c r="G4" s="38">
        <f>DATE(Einstellungen!$B$5,7,1)+5</f>
      </c>
      <c r="H4" s="38">
        <f>DATE(Einstellungen!$B$5,7,1)+6</f>
      </c>
      <c r="I4" s="38">
        <f>DATE(Einstellungen!$B$5,7,1)+7</f>
      </c>
      <c r="J4" s="38">
        <f>DATE(Einstellungen!$B$5,7,1)+8</f>
      </c>
      <c r="K4" s="38">
        <f>DATE(Einstellungen!$B$5,7,1)+9</f>
      </c>
      <c r="L4" s="38">
        <f>DATE(Einstellungen!$B$5,7,1)+10</f>
      </c>
      <c r="M4" s="38">
        <f>DATE(Einstellungen!$B$5,7,1)+11</f>
      </c>
      <c r="N4" s="38">
        <f>DATE(Einstellungen!$B$5,7,1)+12</f>
      </c>
      <c r="O4" s="38">
        <f>DATE(Einstellungen!$B$5,7,1)+13</f>
      </c>
      <c r="P4" s="38">
        <f>DATE(Einstellungen!$B$5,7,1)+14</f>
      </c>
      <c r="Q4" s="38">
        <f>DATE(Einstellungen!$B$5,7,1)+15</f>
      </c>
      <c r="R4" s="38">
        <f>DATE(Einstellungen!$B$5,7,1)+16</f>
      </c>
      <c r="S4" s="38">
        <f>DATE(Einstellungen!$B$5,7,1)+17</f>
      </c>
      <c r="T4" s="38">
        <f>DATE(Einstellungen!$B$5,7,1)+18</f>
      </c>
      <c r="U4" s="38">
        <f>DATE(Einstellungen!$B$5,7,1)+19</f>
      </c>
      <c r="V4" s="38">
        <f>DATE(Einstellungen!$B$5,7,1)+20</f>
      </c>
      <c r="W4" s="38">
        <f>DATE(Einstellungen!$B$5,7,1)+21</f>
      </c>
      <c r="X4" s="38">
        <f>DATE(Einstellungen!$B$5,7,1)+22</f>
      </c>
      <c r="Y4" s="38">
        <f>DATE(Einstellungen!$B$5,7,1)+23</f>
      </c>
      <c r="Z4" s="38">
        <f>DATE(Einstellungen!$B$5,7,1)+24</f>
      </c>
      <c r="AA4" s="38">
        <f>DATE(Einstellungen!$B$5,7,1)+25</f>
      </c>
      <c r="AB4" s="38">
        <f>DATE(Einstellungen!$B$5,7,1)+26</f>
      </c>
      <c r="AC4" s="38">
        <f>DATE(Einstellungen!$B$5,7,1)+27</f>
      </c>
      <c r="AD4" s="38">
        <f>IF(29&lt;=DAY(EOMONTH(DATE(Einstellungen!$B$5,7,1),0)),DATE(Einstellungen!$B$5,7,1)+28,"")</f>
      </c>
      <c r="AE4" s="38">
        <f>IF(30&lt;=DAY(EOMONTH(DATE(Einstellungen!$B$5,7,1),0)),DATE(Einstellungen!$B$5,7,1)+29,"")</f>
      </c>
      <c r="AF4" s="38">
        <f>IF(31&lt;=DAY(EOMONTH(DATE(Einstellungen!$B$5,7,1),0)),DATE(Einstellungen!$B$5,7,1)+30,"")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44" priority="1">
      <formula>B$4=""</formula>
    </cfRule>
    <cfRule type="expression" dxfId="45" priority="2">
      <formula>B$6&lt;&gt;1</formula>
    </cfRule>
  </conditionalFormatting>
  <conditionalFormatting sqref="B7:AF31">
    <cfRule type="expression" dxfId="46" priority="3">
      <formula>B7="U"</formula>
    </cfRule>
    <cfRule type="expression" dxfId="47" priority="4">
      <formula>B7="H"</formula>
    </cfRule>
    <cfRule type="expression" dxfId="48" priority="5">
      <formula>B7="K"</formula>
    </cfRule>
    <cfRule type="expression" dxfId="49" priority="6">
      <formula>B7="S"</formula>
    </cfRule>
    <cfRule type="expression" dxfId="50"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DATE(Einstellungen!$B$5,8,1)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DATE(Einstellungen!$B$5,8,1)+0</f>
      </c>
      <c r="C4" s="38">
        <f>DATE(Einstellungen!$B$5,8,1)+1</f>
      </c>
      <c r="D4" s="38">
        <f>DATE(Einstellungen!$B$5,8,1)+2</f>
      </c>
      <c r="E4" s="38">
        <f>DATE(Einstellungen!$B$5,8,1)+3</f>
      </c>
      <c r="F4" s="38">
        <f>DATE(Einstellungen!$B$5,8,1)+4</f>
      </c>
      <c r="G4" s="38">
        <f>DATE(Einstellungen!$B$5,8,1)+5</f>
      </c>
      <c r="H4" s="38">
        <f>DATE(Einstellungen!$B$5,8,1)+6</f>
      </c>
      <c r="I4" s="38">
        <f>DATE(Einstellungen!$B$5,8,1)+7</f>
      </c>
      <c r="J4" s="38">
        <f>DATE(Einstellungen!$B$5,8,1)+8</f>
      </c>
      <c r="K4" s="38">
        <f>DATE(Einstellungen!$B$5,8,1)+9</f>
      </c>
      <c r="L4" s="38">
        <f>DATE(Einstellungen!$B$5,8,1)+10</f>
      </c>
      <c r="M4" s="38">
        <f>DATE(Einstellungen!$B$5,8,1)+11</f>
      </c>
      <c r="N4" s="38">
        <f>DATE(Einstellungen!$B$5,8,1)+12</f>
      </c>
      <c r="O4" s="38">
        <f>DATE(Einstellungen!$B$5,8,1)+13</f>
      </c>
      <c r="P4" s="38">
        <f>DATE(Einstellungen!$B$5,8,1)+14</f>
      </c>
      <c r="Q4" s="38">
        <f>DATE(Einstellungen!$B$5,8,1)+15</f>
      </c>
      <c r="R4" s="38">
        <f>DATE(Einstellungen!$B$5,8,1)+16</f>
      </c>
      <c r="S4" s="38">
        <f>DATE(Einstellungen!$B$5,8,1)+17</f>
      </c>
      <c r="T4" s="38">
        <f>DATE(Einstellungen!$B$5,8,1)+18</f>
      </c>
      <c r="U4" s="38">
        <f>DATE(Einstellungen!$B$5,8,1)+19</f>
      </c>
      <c r="V4" s="38">
        <f>DATE(Einstellungen!$B$5,8,1)+20</f>
      </c>
      <c r="W4" s="38">
        <f>DATE(Einstellungen!$B$5,8,1)+21</f>
      </c>
      <c r="X4" s="38">
        <f>DATE(Einstellungen!$B$5,8,1)+22</f>
      </c>
      <c r="Y4" s="38">
        <f>DATE(Einstellungen!$B$5,8,1)+23</f>
      </c>
      <c r="Z4" s="38">
        <f>DATE(Einstellungen!$B$5,8,1)+24</f>
      </c>
      <c r="AA4" s="38">
        <f>DATE(Einstellungen!$B$5,8,1)+25</f>
      </c>
      <c r="AB4" s="38">
        <f>DATE(Einstellungen!$B$5,8,1)+26</f>
      </c>
      <c r="AC4" s="38">
        <f>DATE(Einstellungen!$B$5,8,1)+27</f>
      </c>
      <c r="AD4" s="38">
        <f>IF(29&lt;=DAY(EOMONTH(DATE(Einstellungen!$B$5,8,1),0)),DATE(Einstellungen!$B$5,8,1)+28,"")</f>
      </c>
      <c r="AE4" s="38">
        <f>IF(30&lt;=DAY(EOMONTH(DATE(Einstellungen!$B$5,8,1),0)),DATE(Einstellungen!$B$5,8,1)+29,"")</f>
      </c>
      <c r="AF4" s="38">
        <f>IF(31&lt;=DAY(EOMONTH(DATE(Einstellungen!$B$5,8,1),0)),DATE(Einstellungen!$B$5,8,1)+30,"")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51" priority="1">
      <formula>B$4=""</formula>
    </cfRule>
    <cfRule type="expression" dxfId="52" priority="2">
      <formula>B$6&lt;&gt;1</formula>
    </cfRule>
  </conditionalFormatting>
  <conditionalFormatting sqref="B7:AF31">
    <cfRule type="expression" dxfId="53" priority="3">
      <formula>B7="U"</formula>
    </cfRule>
    <cfRule type="expression" dxfId="54" priority="4">
      <formula>B7="H"</formula>
    </cfRule>
    <cfRule type="expression" dxfId="55" priority="5">
      <formula>B7="K"</formula>
    </cfRule>
    <cfRule type="expression" dxfId="56" priority="6">
      <formula>B7="S"</formula>
    </cfRule>
    <cfRule type="expression" dxfId="57"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DATE(Einstellungen!$B$5,9,1)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DATE(Einstellungen!$B$5,9,1)+0</f>
      </c>
      <c r="C4" s="38">
        <f>DATE(Einstellungen!$B$5,9,1)+1</f>
      </c>
      <c r="D4" s="38">
        <f>DATE(Einstellungen!$B$5,9,1)+2</f>
      </c>
      <c r="E4" s="38">
        <f>DATE(Einstellungen!$B$5,9,1)+3</f>
      </c>
      <c r="F4" s="38">
        <f>DATE(Einstellungen!$B$5,9,1)+4</f>
      </c>
      <c r="G4" s="38">
        <f>DATE(Einstellungen!$B$5,9,1)+5</f>
      </c>
      <c r="H4" s="38">
        <f>DATE(Einstellungen!$B$5,9,1)+6</f>
      </c>
      <c r="I4" s="38">
        <f>DATE(Einstellungen!$B$5,9,1)+7</f>
      </c>
      <c r="J4" s="38">
        <f>DATE(Einstellungen!$B$5,9,1)+8</f>
      </c>
      <c r="K4" s="38">
        <f>DATE(Einstellungen!$B$5,9,1)+9</f>
      </c>
      <c r="L4" s="38">
        <f>DATE(Einstellungen!$B$5,9,1)+10</f>
      </c>
      <c r="M4" s="38">
        <f>DATE(Einstellungen!$B$5,9,1)+11</f>
      </c>
      <c r="N4" s="38">
        <f>DATE(Einstellungen!$B$5,9,1)+12</f>
      </c>
      <c r="O4" s="38">
        <f>DATE(Einstellungen!$B$5,9,1)+13</f>
      </c>
      <c r="P4" s="38">
        <f>DATE(Einstellungen!$B$5,9,1)+14</f>
      </c>
      <c r="Q4" s="38">
        <f>DATE(Einstellungen!$B$5,9,1)+15</f>
      </c>
      <c r="R4" s="38">
        <f>DATE(Einstellungen!$B$5,9,1)+16</f>
      </c>
      <c r="S4" s="38">
        <f>DATE(Einstellungen!$B$5,9,1)+17</f>
      </c>
      <c r="T4" s="38">
        <f>DATE(Einstellungen!$B$5,9,1)+18</f>
      </c>
      <c r="U4" s="38">
        <f>DATE(Einstellungen!$B$5,9,1)+19</f>
      </c>
      <c r="V4" s="38">
        <f>DATE(Einstellungen!$B$5,9,1)+20</f>
      </c>
      <c r="W4" s="38">
        <f>DATE(Einstellungen!$B$5,9,1)+21</f>
      </c>
      <c r="X4" s="38">
        <f>DATE(Einstellungen!$B$5,9,1)+22</f>
      </c>
      <c r="Y4" s="38">
        <f>DATE(Einstellungen!$B$5,9,1)+23</f>
      </c>
      <c r="Z4" s="38">
        <f>DATE(Einstellungen!$B$5,9,1)+24</f>
      </c>
      <c r="AA4" s="38">
        <f>DATE(Einstellungen!$B$5,9,1)+25</f>
      </c>
      <c r="AB4" s="38">
        <f>DATE(Einstellungen!$B$5,9,1)+26</f>
      </c>
      <c r="AC4" s="38">
        <f>DATE(Einstellungen!$B$5,9,1)+27</f>
      </c>
      <c r="AD4" s="38">
        <f>IF(29&lt;=DAY(EOMONTH(DATE(Einstellungen!$B$5,9,1),0)),DATE(Einstellungen!$B$5,9,1)+28,"")</f>
      </c>
      <c r="AE4" s="38">
        <f>IF(30&lt;=DAY(EOMONTH(DATE(Einstellungen!$B$5,9,1),0)),DATE(Einstellungen!$B$5,9,1)+29,"")</f>
      </c>
      <c r="AF4" s="38">
        <f>IF(31&lt;=DAY(EOMONTH(DATE(Einstellungen!$B$5,9,1),0)),DATE(Einstellungen!$B$5,9,1)+30,"")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58" priority="1">
      <formula>B$4=""</formula>
    </cfRule>
    <cfRule type="expression" dxfId="59" priority="2">
      <formula>B$6&lt;&gt;1</formula>
    </cfRule>
  </conditionalFormatting>
  <conditionalFormatting sqref="B7:AF31">
    <cfRule type="expression" dxfId="60" priority="3">
      <formula>B7="U"</formula>
    </cfRule>
    <cfRule type="expression" dxfId="61" priority="4">
      <formula>B7="H"</formula>
    </cfRule>
    <cfRule type="expression" dxfId="62" priority="5">
      <formula>B7="K"</formula>
    </cfRule>
    <cfRule type="expression" dxfId="63" priority="6">
      <formula>B7="S"</formula>
    </cfRule>
    <cfRule type="expression" dxfId="64"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DATE(Einstellungen!$B$5,10,1)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DATE(Einstellungen!$B$5,10,1)+0</f>
      </c>
      <c r="C4" s="38">
        <f>DATE(Einstellungen!$B$5,10,1)+1</f>
      </c>
      <c r="D4" s="38">
        <f>DATE(Einstellungen!$B$5,10,1)+2</f>
      </c>
      <c r="E4" s="38">
        <f>DATE(Einstellungen!$B$5,10,1)+3</f>
      </c>
      <c r="F4" s="38">
        <f>DATE(Einstellungen!$B$5,10,1)+4</f>
      </c>
      <c r="G4" s="38">
        <f>DATE(Einstellungen!$B$5,10,1)+5</f>
      </c>
      <c r="H4" s="38">
        <f>DATE(Einstellungen!$B$5,10,1)+6</f>
      </c>
      <c r="I4" s="38">
        <f>DATE(Einstellungen!$B$5,10,1)+7</f>
      </c>
      <c r="J4" s="38">
        <f>DATE(Einstellungen!$B$5,10,1)+8</f>
      </c>
      <c r="K4" s="38">
        <f>DATE(Einstellungen!$B$5,10,1)+9</f>
      </c>
      <c r="L4" s="38">
        <f>DATE(Einstellungen!$B$5,10,1)+10</f>
      </c>
      <c r="M4" s="38">
        <f>DATE(Einstellungen!$B$5,10,1)+11</f>
      </c>
      <c r="N4" s="38">
        <f>DATE(Einstellungen!$B$5,10,1)+12</f>
      </c>
      <c r="O4" s="38">
        <f>DATE(Einstellungen!$B$5,10,1)+13</f>
      </c>
      <c r="P4" s="38">
        <f>DATE(Einstellungen!$B$5,10,1)+14</f>
      </c>
      <c r="Q4" s="38">
        <f>DATE(Einstellungen!$B$5,10,1)+15</f>
      </c>
      <c r="R4" s="38">
        <f>DATE(Einstellungen!$B$5,10,1)+16</f>
      </c>
      <c r="S4" s="38">
        <f>DATE(Einstellungen!$B$5,10,1)+17</f>
      </c>
      <c r="T4" s="38">
        <f>DATE(Einstellungen!$B$5,10,1)+18</f>
      </c>
      <c r="U4" s="38">
        <f>DATE(Einstellungen!$B$5,10,1)+19</f>
      </c>
      <c r="V4" s="38">
        <f>DATE(Einstellungen!$B$5,10,1)+20</f>
      </c>
      <c r="W4" s="38">
        <f>DATE(Einstellungen!$B$5,10,1)+21</f>
      </c>
      <c r="X4" s="38">
        <f>DATE(Einstellungen!$B$5,10,1)+22</f>
      </c>
      <c r="Y4" s="38">
        <f>DATE(Einstellungen!$B$5,10,1)+23</f>
      </c>
      <c r="Z4" s="38">
        <f>DATE(Einstellungen!$B$5,10,1)+24</f>
      </c>
      <c r="AA4" s="38">
        <f>DATE(Einstellungen!$B$5,10,1)+25</f>
      </c>
      <c r="AB4" s="38">
        <f>DATE(Einstellungen!$B$5,10,1)+26</f>
      </c>
      <c r="AC4" s="38">
        <f>DATE(Einstellungen!$B$5,10,1)+27</f>
      </c>
      <c r="AD4" s="38">
        <f>IF(29&lt;=DAY(EOMONTH(DATE(Einstellungen!$B$5,10,1),0)),DATE(Einstellungen!$B$5,10,1)+28,"")</f>
      </c>
      <c r="AE4" s="38">
        <f>IF(30&lt;=DAY(EOMONTH(DATE(Einstellungen!$B$5,10,1),0)),DATE(Einstellungen!$B$5,10,1)+29,"")</f>
      </c>
      <c r="AF4" s="38">
        <f>IF(31&lt;=DAY(EOMONTH(DATE(Einstellungen!$B$5,10,1),0)),DATE(Einstellungen!$B$5,10,1)+30,"")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65" priority="1">
      <formula>B$4=""</formula>
    </cfRule>
    <cfRule type="expression" dxfId="66" priority="2">
      <formula>B$6&lt;&gt;1</formula>
    </cfRule>
  </conditionalFormatting>
  <conditionalFormatting sqref="B7:AF31">
    <cfRule type="expression" dxfId="67" priority="3">
      <formula>B7="U"</formula>
    </cfRule>
    <cfRule type="expression" dxfId="68" priority="4">
      <formula>B7="H"</formula>
    </cfRule>
    <cfRule type="expression" dxfId="69" priority="5">
      <formula>B7="K"</formula>
    </cfRule>
    <cfRule type="expression" dxfId="70" priority="6">
      <formula>B7="S"</formula>
    </cfRule>
    <cfRule type="expression" dxfId="71"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DATE(Einstellungen!$B$5,11,1)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DATE(Einstellungen!$B$5,11,1)+0</f>
      </c>
      <c r="C4" s="38">
        <f>DATE(Einstellungen!$B$5,11,1)+1</f>
      </c>
      <c r="D4" s="38">
        <f>DATE(Einstellungen!$B$5,11,1)+2</f>
      </c>
      <c r="E4" s="38">
        <f>DATE(Einstellungen!$B$5,11,1)+3</f>
      </c>
      <c r="F4" s="38">
        <f>DATE(Einstellungen!$B$5,11,1)+4</f>
      </c>
      <c r="G4" s="38">
        <f>DATE(Einstellungen!$B$5,11,1)+5</f>
      </c>
      <c r="H4" s="38">
        <f>DATE(Einstellungen!$B$5,11,1)+6</f>
      </c>
      <c r="I4" s="38">
        <f>DATE(Einstellungen!$B$5,11,1)+7</f>
      </c>
      <c r="J4" s="38">
        <f>DATE(Einstellungen!$B$5,11,1)+8</f>
      </c>
      <c r="K4" s="38">
        <f>DATE(Einstellungen!$B$5,11,1)+9</f>
      </c>
      <c r="L4" s="38">
        <f>DATE(Einstellungen!$B$5,11,1)+10</f>
      </c>
      <c r="M4" s="38">
        <f>DATE(Einstellungen!$B$5,11,1)+11</f>
      </c>
      <c r="N4" s="38">
        <f>DATE(Einstellungen!$B$5,11,1)+12</f>
      </c>
      <c r="O4" s="38">
        <f>DATE(Einstellungen!$B$5,11,1)+13</f>
      </c>
      <c r="P4" s="38">
        <f>DATE(Einstellungen!$B$5,11,1)+14</f>
      </c>
      <c r="Q4" s="38">
        <f>DATE(Einstellungen!$B$5,11,1)+15</f>
      </c>
      <c r="R4" s="38">
        <f>DATE(Einstellungen!$B$5,11,1)+16</f>
      </c>
      <c r="S4" s="38">
        <f>DATE(Einstellungen!$B$5,11,1)+17</f>
      </c>
      <c r="T4" s="38">
        <f>DATE(Einstellungen!$B$5,11,1)+18</f>
      </c>
      <c r="U4" s="38">
        <f>DATE(Einstellungen!$B$5,11,1)+19</f>
      </c>
      <c r="V4" s="38">
        <f>DATE(Einstellungen!$B$5,11,1)+20</f>
      </c>
      <c r="W4" s="38">
        <f>DATE(Einstellungen!$B$5,11,1)+21</f>
      </c>
      <c r="X4" s="38">
        <f>DATE(Einstellungen!$B$5,11,1)+22</f>
      </c>
      <c r="Y4" s="38">
        <f>DATE(Einstellungen!$B$5,11,1)+23</f>
      </c>
      <c r="Z4" s="38">
        <f>DATE(Einstellungen!$B$5,11,1)+24</f>
      </c>
      <c r="AA4" s="38">
        <f>DATE(Einstellungen!$B$5,11,1)+25</f>
      </c>
      <c r="AB4" s="38">
        <f>DATE(Einstellungen!$B$5,11,1)+26</f>
      </c>
      <c r="AC4" s="38">
        <f>DATE(Einstellungen!$B$5,11,1)+27</f>
      </c>
      <c r="AD4" s="38">
        <f>IF(29&lt;=DAY(EOMONTH(DATE(Einstellungen!$B$5,11,1),0)),DATE(Einstellungen!$B$5,11,1)+28,"")</f>
      </c>
      <c r="AE4" s="38">
        <f>IF(30&lt;=DAY(EOMONTH(DATE(Einstellungen!$B$5,11,1),0)),DATE(Einstellungen!$B$5,11,1)+29,"")</f>
      </c>
      <c r="AF4" s="38">
        <f>IF(31&lt;=DAY(EOMONTH(DATE(Einstellungen!$B$5,11,1),0)),DATE(Einstellungen!$B$5,11,1)+30,"")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72" priority="1">
      <formula>B$4=""</formula>
    </cfRule>
    <cfRule type="expression" dxfId="73" priority="2">
      <formula>B$6&lt;&gt;1</formula>
    </cfRule>
  </conditionalFormatting>
  <conditionalFormatting sqref="B7:AF31">
    <cfRule type="expression" dxfId="74" priority="3">
      <formula>B7="U"</formula>
    </cfRule>
    <cfRule type="expression" dxfId="75" priority="4">
      <formula>B7="H"</formula>
    </cfRule>
    <cfRule type="expression" dxfId="76" priority="5">
      <formula>B7="K"</formula>
    </cfRule>
    <cfRule type="expression" dxfId="77" priority="6">
      <formula>B7="S"</formula>
    </cfRule>
    <cfRule type="expression" dxfId="78"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J32"/>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28">
        <f>DATE(Einstellungen!$B$5,12,1)</f>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row>
    <row r="2" ht="18" customHeight="1" spans="1:36" x14ac:dyDescent="0.25">
      <c r="A2" s="29">
        <f>"Kürzel in die Tageszellen eintragen. Grau: Wochenende oder gesetzlicher Feiertag in "&amp;Einstellungen!$B$6&amp;"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DATE(Einstellungen!$B$5,12,1)+0</f>
      </c>
      <c r="C4" s="38">
        <f>DATE(Einstellungen!$B$5,12,1)+1</f>
      </c>
      <c r="D4" s="38">
        <f>DATE(Einstellungen!$B$5,12,1)+2</f>
      </c>
      <c r="E4" s="38">
        <f>DATE(Einstellungen!$B$5,12,1)+3</f>
      </c>
      <c r="F4" s="38">
        <f>DATE(Einstellungen!$B$5,12,1)+4</f>
      </c>
      <c r="G4" s="38">
        <f>DATE(Einstellungen!$B$5,12,1)+5</f>
      </c>
      <c r="H4" s="38">
        <f>DATE(Einstellungen!$B$5,12,1)+6</f>
      </c>
      <c r="I4" s="38">
        <f>DATE(Einstellungen!$B$5,12,1)+7</f>
      </c>
      <c r="J4" s="38">
        <f>DATE(Einstellungen!$B$5,12,1)+8</f>
      </c>
      <c r="K4" s="38">
        <f>DATE(Einstellungen!$B$5,12,1)+9</f>
      </c>
      <c r="L4" s="38">
        <f>DATE(Einstellungen!$B$5,12,1)+10</f>
      </c>
      <c r="M4" s="38">
        <f>DATE(Einstellungen!$B$5,12,1)+11</f>
      </c>
      <c r="N4" s="38">
        <f>DATE(Einstellungen!$B$5,12,1)+12</f>
      </c>
      <c r="O4" s="38">
        <f>DATE(Einstellungen!$B$5,12,1)+13</f>
      </c>
      <c r="P4" s="38">
        <f>DATE(Einstellungen!$B$5,12,1)+14</f>
      </c>
      <c r="Q4" s="38">
        <f>DATE(Einstellungen!$B$5,12,1)+15</f>
      </c>
      <c r="R4" s="38">
        <f>DATE(Einstellungen!$B$5,12,1)+16</f>
      </c>
      <c r="S4" s="38">
        <f>DATE(Einstellungen!$B$5,12,1)+17</f>
      </c>
      <c r="T4" s="38">
        <f>DATE(Einstellungen!$B$5,12,1)+18</f>
      </c>
      <c r="U4" s="38">
        <f>DATE(Einstellungen!$B$5,12,1)+19</f>
      </c>
      <c r="V4" s="38">
        <f>DATE(Einstellungen!$B$5,12,1)+20</f>
      </c>
      <c r="W4" s="38">
        <f>DATE(Einstellungen!$B$5,12,1)+21</f>
      </c>
      <c r="X4" s="38">
        <f>DATE(Einstellungen!$B$5,12,1)+22</f>
      </c>
      <c r="Y4" s="38">
        <f>DATE(Einstellungen!$B$5,12,1)+23</f>
      </c>
      <c r="Z4" s="38">
        <f>DATE(Einstellungen!$B$5,12,1)+24</f>
      </c>
      <c r="AA4" s="38">
        <f>DATE(Einstellungen!$B$5,12,1)+25</f>
      </c>
      <c r="AB4" s="38">
        <f>DATE(Einstellungen!$B$5,12,1)+26</f>
      </c>
      <c r="AC4" s="38">
        <f>DATE(Einstellungen!$B$5,12,1)+27</f>
      </c>
      <c r="AD4" s="38">
        <f>IF(29&lt;=DAY(EOMONTH(DATE(Einstellungen!$B$5,12,1),0)),DATE(Einstellungen!$B$5,12,1)+28,"")</f>
      </c>
      <c r="AE4" s="38">
        <f>IF(30&lt;=DAY(EOMONTH(DATE(Einstellungen!$B$5,12,1),0)),DATE(Einstellungen!$B$5,12,1)+29,"")</f>
      </c>
      <c r="AF4" s="38">
        <f>IF(31&lt;=DAY(EOMONTH(DATE(Einstellungen!$B$5,12,1),0)),DATE(Einstellungen!$B$5,12,1)+30,"")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IF(B4="",0,IF(COUNTIF(Feiertage!$H$2:$H$200,B4)&gt;0,-1,IF(WEEKDAY(B4,2)&gt;5,0,1)))</f>
      </c>
      <c r="C6" s="41">
        <f>IF(C4="",0,IF(COUNTIF(Feiertage!$H$2:$H$200,C4)&gt;0,-1,IF(WEEKDAY(C4,2)&gt;5,0,1)))</f>
      </c>
      <c r="D6" s="41">
        <f>IF(D4="",0,IF(COUNTIF(Feiertage!$H$2:$H$200,D4)&gt;0,-1,IF(WEEKDAY(D4,2)&gt;5,0,1)))</f>
      </c>
      <c r="E6" s="41">
        <f>IF(E4="",0,IF(COUNTIF(Feiertage!$H$2:$H$200,E4)&gt;0,-1,IF(WEEKDAY(E4,2)&gt;5,0,1)))</f>
      </c>
      <c r="F6" s="41">
        <f>IF(F4="",0,IF(COUNTIF(Feiertage!$H$2:$H$200,F4)&gt;0,-1,IF(WEEKDAY(F4,2)&gt;5,0,1)))</f>
      </c>
      <c r="G6" s="41">
        <f>IF(G4="",0,IF(COUNTIF(Feiertage!$H$2:$H$200,G4)&gt;0,-1,IF(WEEKDAY(G4,2)&gt;5,0,1)))</f>
      </c>
      <c r="H6" s="41">
        <f>IF(H4="",0,IF(COUNTIF(Feiertage!$H$2:$H$200,H4)&gt;0,-1,IF(WEEKDAY(H4,2)&gt;5,0,1)))</f>
      </c>
      <c r="I6" s="41">
        <f>IF(I4="",0,IF(COUNTIF(Feiertage!$H$2:$H$200,I4)&gt;0,-1,IF(WEEKDAY(I4,2)&gt;5,0,1)))</f>
      </c>
      <c r="J6" s="41">
        <f>IF(J4="",0,IF(COUNTIF(Feiertage!$H$2:$H$200,J4)&gt;0,-1,IF(WEEKDAY(J4,2)&gt;5,0,1)))</f>
      </c>
      <c r="K6" s="41">
        <f>IF(K4="",0,IF(COUNTIF(Feiertage!$H$2:$H$200,K4)&gt;0,-1,IF(WEEKDAY(K4,2)&gt;5,0,1)))</f>
      </c>
      <c r="L6" s="41">
        <f>IF(L4="",0,IF(COUNTIF(Feiertage!$H$2:$H$200,L4)&gt;0,-1,IF(WEEKDAY(L4,2)&gt;5,0,1)))</f>
      </c>
      <c r="M6" s="41">
        <f>IF(M4="",0,IF(COUNTIF(Feiertage!$H$2:$H$200,M4)&gt;0,-1,IF(WEEKDAY(M4,2)&gt;5,0,1)))</f>
      </c>
      <c r="N6" s="41">
        <f>IF(N4="",0,IF(COUNTIF(Feiertage!$H$2:$H$200,N4)&gt;0,-1,IF(WEEKDAY(N4,2)&gt;5,0,1)))</f>
      </c>
      <c r="O6" s="41">
        <f>IF(O4="",0,IF(COUNTIF(Feiertage!$H$2:$H$200,O4)&gt;0,-1,IF(WEEKDAY(O4,2)&gt;5,0,1)))</f>
      </c>
      <c r="P6" s="41">
        <f>IF(P4="",0,IF(COUNTIF(Feiertage!$H$2:$H$200,P4)&gt;0,-1,IF(WEEKDAY(P4,2)&gt;5,0,1)))</f>
      </c>
      <c r="Q6" s="41">
        <f>IF(Q4="",0,IF(COUNTIF(Feiertage!$H$2:$H$200,Q4)&gt;0,-1,IF(WEEKDAY(Q4,2)&gt;5,0,1)))</f>
      </c>
      <c r="R6" s="41">
        <f>IF(R4="",0,IF(COUNTIF(Feiertage!$H$2:$H$200,R4)&gt;0,-1,IF(WEEKDAY(R4,2)&gt;5,0,1)))</f>
      </c>
      <c r="S6" s="41">
        <f>IF(S4="",0,IF(COUNTIF(Feiertage!$H$2:$H$200,S4)&gt;0,-1,IF(WEEKDAY(S4,2)&gt;5,0,1)))</f>
      </c>
      <c r="T6" s="41">
        <f>IF(T4="",0,IF(COUNTIF(Feiertage!$H$2:$H$200,T4)&gt;0,-1,IF(WEEKDAY(T4,2)&gt;5,0,1)))</f>
      </c>
      <c r="U6" s="41">
        <f>IF(U4="",0,IF(COUNTIF(Feiertage!$H$2:$H$200,U4)&gt;0,-1,IF(WEEKDAY(U4,2)&gt;5,0,1)))</f>
      </c>
      <c r="V6" s="41">
        <f>IF(V4="",0,IF(COUNTIF(Feiertage!$H$2:$H$200,V4)&gt;0,-1,IF(WEEKDAY(V4,2)&gt;5,0,1)))</f>
      </c>
      <c r="W6" s="41">
        <f>IF(W4="",0,IF(COUNTIF(Feiertage!$H$2:$H$200,W4)&gt;0,-1,IF(WEEKDAY(W4,2)&gt;5,0,1)))</f>
      </c>
      <c r="X6" s="41">
        <f>IF(X4="",0,IF(COUNTIF(Feiertage!$H$2:$H$200,X4)&gt;0,-1,IF(WEEKDAY(X4,2)&gt;5,0,1)))</f>
      </c>
      <c r="Y6" s="41">
        <f>IF(Y4="",0,IF(COUNTIF(Feiertage!$H$2:$H$200,Y4)&gt;0,-1,IF(WEEKDAY(Y4,2)&gt;5,0,1)))</f>
      </c>
      <c r="Z6" s="41">
        <f>IF(Z4="",0,IF(COUNTIF(Feiertage!$H$2:$H$200,Z4)&gt;0,-1,IF(WEEKDAY(Z4,2)&gt;5,0,1)))</f>
      </c>
      <c r="AA6" s="41">
        <f>IF(AA4="",0,IF(COUNTIF(Feiertage!$H$2:$H$200,AA4)&gt;0,-1,IF(WEEKDAY(AA4,2)&gt;5,0,1)))</f>
      </c>
      <c r="AB6" s="41">
        <f>IF(AB4="",0,IF(COUNTIF(Feiertage!$H$2:$H$200,AB4)&gt;0,-1,IF(WEEKDAY(AB4,2)&gt;5,0,1)))</f>
      </c>
      <c r="AC6" s="41">
        <f>IF(AC4="",0,IF(COUNTIF(Feiertage!$H$2:$H$200,AC4)&gt;0,-1,IF(WEEKDAY(AC4,2)&gt;5,0,1)))</f>
      </c>
      <c r="AD6" s="41">
        <f>IF(AD4="",0,IF(COUNTIF(Feiertage!$H$2:$H$200,AD4)&gt;0,-1,IF(WEEKDAY(AD4,2)&gt;5,0,1)))</f>
      </c>
      <c r="AE6" s="41">
        <f>IF(AE4="",0,IF(COUNTIF(Feiertage!$H$2:$H$200,AE4)&gt;0,-1,IF(WEEKDAY(AE4,2)&gt;5,0,1)))</f>
      </c>
      <c r="AF6" s="41">
        <f>IF(AF4="",0,IF(COUNTIF(Feiertage!$H$2:$H$200,AF4)&gt;0,-1,IF(WEEKDAY(AF4,2)&gt;5,0,1)))</f>
      </c>
      <c r="AG6" s="39"/>
      <c r="AH6" s="39"/>
      <c r="AI6" s="39"/>
      <c r="AJ6" s="39"/>
    </row>
    <row r="7" ht="17" customHeight="1" spans="1:36" x14ac:dyDescent="0.25">
      <c r="A7" s="19">
        <f>IF(Team!$B$8="","",Team!$B$8)</f>
      </c>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3">
        <f>SUMPRODUCT((B7:AF7="U")*($B$6:$AF$6=1))+0.5*SUMPRODUCT((B7:AF7="H")*($B$6:$AF$6=1))</f>
      </c>
      <c r="AH7" s="44">
        <f>SUMPRODUCT((B7:AF7="K")*($B$6:$AF$6=1))</f>
      </c>
      <c r="AI7" s="44">
        <f>SUMPRODUCT((B7:AF7="S")*($B$6:$AF$6=1))</f>
      </c>
      <c r="AJ7" s="44">
        <f>SUMPRODUCT((B7:AF7="ZA")*($B$6:$AF$6=1))</f>
      </c>
    </row>
    <row r="8" ht="17" customHeight="1" spans="1:36" x14ac:dyDescent="0.25">
      <c r="A8" s="19">
        <f>IF(Team!$B$9="","",Team!$B$9)</f>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19">
        <f>IF(Team!$B$10="","",Team!$B$10)</f>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19">
        <f>IF(Team!$B$12="","",Team!$B$12)</f>
      </c>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3">
        <f>SUMPRODUCT((B11:AF11="U")*($B$6:$AF$6=1))+0.5*SUMPRODUCT((B11:AF11="H")*($B$6:$AF$6=1))</f>
      </c>
      <c r="AH11" s="44">
        <f>SUMPRODUCT((B11:AF11="K")*($B$6:$AF$6=1))</f>
      </c>
      <c r="AI11" s="44">
        <f>SUMPRODUCT((B11:AF11="S")*($B$6:$AF$6=1))</f>
      </c>
      <c r="AJ11" s="44">
        <f>SUMPRODUCT((B11:AF11="ZA")*($B$6:$AF$6=1))</f>
      </c>
    </row>
    <row r="12" ht="17" customHeight="1" spans="1:36" x14ac:dyDescent="0.25">
      <c r="A12" s="19">
        <f>IF(Team!$B$13="","",Team!$B$13)</f>
      </c>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19">
        <f>IF(Team!$B$14="","",Team!$B$14)</f>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19">
        <f>IF(Team!$B$15="","",Team!$B$15)</f>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19">
        <f>IF(Team!$B$16="","",Team!$B$16)</f>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19">
        <f>IF(Team!$B$17="","",Team!$B$17)</f>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19">
        <f>IF(Team!$B$18="","",Team!$B$18)</f>
      </c>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19">
        <f>IF(Team!$B$19="","",Team!$B$19)</f>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19">
        <f>IF(Team!$B$20="","",Team!$B$20)</f>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19">
        <f>IF(Team!$B$21="","",Team!$B$21)</f>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19">
        <f>IF(Team!$B$22="","",Team!$B$22)</f>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19">
        <f>IF(Team!$B$23="","",Team!$B$23)</f>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19">
        <f>IF(Team!$B$24="","",Team!$B$24)</f>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19">
        <f>IF(Team!$B$25="","",Team!$B$25)</f>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19">
        <f>IF(Team!$B$26="","",Team!$B$26)</f>
      </c>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19">
        <f>IF(Team!$B$27="","",Team!$B$27)</f>
      </c>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19">
        <f>IF(Team!$B$28="","",Team!$B$28)</f>
      </c>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19">
        <f>IF(Team!$B$29="","",Team!$B$29)</f>
      </c>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19">
        <f>IF(Team!$B$30="","",Team!$B$30)</f>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19">
        <f>IF(Team!$B$31="","",Team!$B$31)</f>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19">
        <f>IF(Team!$B$32="","",Team!$B$32)</f>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sheetData>
  <mergeCells count="12">
    <mergeCell ref="A1:AJ1"/>
    <mergeCell ref="A2:AJ2"/>
    <mergeCell ref="B3:F3"/>
    <mergeCell ref="H3:L3"/>
    <mergeCell ref="N3:R3"/>
    <mergeCell ref="T3:X3"/>
    <mergeCell ref="Z3:AD3"/>
    <mergeCell ref="AF3:AJ3"/>
    <mergeCell ref="AG4:AG6"/>
    <mergeCell ref="AH4:AH6"/>
    <mergeCell ref="AI4:AI6"/>
    <mergeCell ref="AJ4:AJ6"/>
  </mergeCells>
  <conditionalFormatting sqref="B4:AF32">
    <cfRule type="expression" dxfId="79" priority="1">
      <formula>B$4=""</formula>
    </cfRule>
    <cfRule type="expression" dxfId="80" priority="2">
      <formula>B$6&lt;&gt;1</formula>
    </cfRule>
  </conditionalFormatting>
  <conditionalFormatting sqref="B7:AF31">
    <cfRule type="expression" dxfId="81" priority="3">
      <formula>B7="U"</formula>
    </cfRule>
    <cfRule type="expression" dxfId="82" priority="4">
      <formula>B7="H"</formula>
    </cfRule>
    <cfRule type="expression" dxfId="83" priority="5">
      <formula>B7="K"</formula>
    </cfRule>
    <cfRule type="expression" dxfId="84" priority="6">
      <formula>B7="S"</formula>
    </cfRule>
    <cfRule type="expression" dxfId="85"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AJ41"/>
  <sheetViews>
    <sheetView workbookViewId="0" showGridLines="0">
      <pane xSplit="1" ySplit="6" topLeftCell="B7" activePane="bottomRight" state="frozen"/>
      <selection pane="bottomRight"/>
    </sheetView>
  </sheetViews>
  <sheetFormatPr defaultRowHeight="18" outlineLevelRow="0" outlineLevelCol="0" x14ac:dyDescent="55" customHeight="1"/>
  <cols>
    <col min="1" max="1" width="22" customWidth="1"/>
    <col min="2" max="32" width="3.4" customWidth="1"/>
    <col min="33" max="33" width="6.2" customWidth="1"/>
    <col min="34" max="36" width="5.2" customWidth="1"/>
  </cols>
  <sheetData>
    <row r="1" ht="30" customHeight="1" spans="1:36" x14ac:dyDescent="0.25">
      <c r="A1" s="46">
        <f>DATE(2027,5,1)</f>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row>
    <row r="2" ht="18" customHeight="1" spans="1:36" x14ac:dyDescent="0.25">
      <c r="A2" s="29">
        <f>"Kürzel in die Tageszellen eintragen. Grau: Wochenende oder gesetzlicher Feiertag in "&amp;"Hessen"&amp;" (F). Urlaub, Krankheit und Zeitausgleich zählen nur an Arbeitstagen."</f>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row>
    <row r="3" ht="16" customHeight="1" spans="1:36" x14ac:dyDescent="0.25">
      <c r="A3" s="30" t="s">
        <v>41</v>
      </c>
      <c r="B3" s="31" t="s">
        <v>42</v>
      </c>
      <c r="C3" s="31"/>
      <c r="D3" s="31"/>
      <c r="E3" s="31"/>
      <c r="F3" s="31"/>
      <c r="H3" s="32" t="s">
        <v>43</v>
      </c>
      <c r="I3" s="32"/>
      <c r="J3" s="32"/>
      <c r="K3" s="32"/>
      <c r="L3" s="32"/>
      <c r="N3" s="33" t="s">
        <v>44</v>
      </c>
      <c r="O3" s="33"/>
      <c r="P3" s="33"/>
      <c r="Q3" s="33"/>
      <c r="R3" s="33"/>
      <c r="T3" s="34" t="s">
        <v>45</v>
      </c>
      <c r="U3" s="34"/>
      <c r="V3" s="34"/>
      <c r="W3" s="34"/>
      <c r="X3" s="34"/>
      <c r="Z3" s="35" t="s">
        <v>46</v>
      </c>
      <c r="AA3" s="35"/>
      <c r="AB3" s="35"/>
      <c r="AC3" s="35"/>
      <c r="AD3" s="35"/>
      <c r="AF3" s="36" t="s">
        <v>47</v>
      </c>
      <c r="AG3" s="36"/>
      <c r="AH3" s="36"/>
      <c r="AI3" s="36"/>
      <c r="AJ3" s="36"/>
    </row>
    <row r="4" ht="18" customHeight="1" spans="1:36" x14ac:dyDescent="0.25">
      <c r="A4" s="37" t="s">
        <v>48</v>
      </c>
      <c r="B4" s="38">
        <f>DATE(2027,5,1)+0</f>
      </c>
      <c r="C4" s="38">
        <f>DATE(2027,5,1)+1</f>
      </c>
      <c r="D4" s="38">
        <f>DATE(2027,5,1)+2</f>
      </c>
      <c r="E4" s="38">
        <f>DATE(2027,5,1)+3</f>
      </c>
      <c r="F4" s="38">
        <f>DATE(2027,5,1)+4</f>
      </c>
      <c r="G4" s="38">
        <f>DATE(2027,5,1)+5</f>
      </c>
      <c r="H4" s="38">
        <f>DATE(2027,5,1)+6</f>
      </c>
      <c r="I4" s="38">
        <f>DATE(2027,5,1)+7</f>
      </c>
      <c r="J4" s="38">
        <f>DATE(2027,5,1)+8</f>
      </c>
      <c r="K4" s="38">
        <f>DATE(2027,5,1)+9</f>
      </c>
      <c r="L4" s="38">
        <f>DATE(2027,5,1)+10</f>
      </c>
      <c r="M4" s="38">
        <f>DATE(2027,5,1)+11</f>
      </c>
      <c r="N4" s="38">
        <f>DATE(2027,5,1)+12</f>
      </c>
      <c r="O4" s="38">
        <f>DATE(2027,5,1)+13</f>
      </c>
      <c r="P4" s="38">
        <f>DATE(2027,5,1)+14</f>
      </c>
      <c r="Q4" s="38">
        <f>DATE(2027,5,1)+15</f>
      </c>
      <c r="R4" s="38">
        <f>DATE(2027,5,1)+16</f>
      </c>
      <c r="S4" s="38">
        <f>DATE(2027,5,1)+17</f>
      </c>
      <c r="T4" s="38">
        <f>DATE(2027,5,1)+18</f>
      </c>
      <c r="U4" s="38">
        <f>DATE(2027,5,1)+19</f>
      </c>
      <c r="V4" s="38">
        <f>DATE(2027,5,1)+20</f>
      </c>
      <c r="W4" s="38">
        <f>DATE(2027,5,1)+21</f>
      </c>
      <c r="X4" s="38">
        <f>DATE(2027,5,1)+22</f>
      </c>
      <c r="Y4" s="38">
        <f>DATE(2027,5,1)+23</f>
      </c>
      <c r="Z4" s="38">
        <f>DATE(2027,5,1)+24</f>
      </c>
      <c r="AA4" s="38">
        <f>DATE(2027,5,1)+25</f>
      </c>
      <c r="AB4" s="38">
        <f>DATE(2027,5,1)+26</f>
      </c>
      <c r="AC4" s="38">
        <f>DATE(2027,5,1)+27</f>
      </c>
      <c r="AD4" s="38">
        <f>IF(29&lt;=DAY(EOMONTH(DATE(2027,5,1),0)),DATE(2027,5,1)+28,"")</f>
      </c>
      <c r="AE4" s="38">
        <f>IF(30&lt;=DAY(EOMONTH(DATE(2027,5,1),0)),DATE(2027,5,1)+29,"")</f>
      </c>
      <c r="AF4" s="38">
        <f>IF(31&lt;=DAY(EOMONTH(DATE(2027,5,1),0)),DATE(2027,5,1)+30,"")</f>
      </c>
      <c r="AG4" s="39" t="s">
        <v>49</v>
      </c>
      <c r="AH4" s="39" t="s">
        <v>15</v>
      </c>
      <c r="AI4" s="39" t="s">
        <v>37</v>
      </c>
      <c r="AJ4" s="39" t="s">
        <v>50</v>
      </c>
    </row>
    <row r="5" ht="16" customHeight="1" spans="1:36" x14ac:dyDescent="0.25">
      <c r="A5" s="37" t="s">
        <v>23</v>
      </c>
      <c r="B5" s="40">
        <f>IF(B4="","",B4)</f>
      </c>
      <c r="C5" s="40">
        <f>IF(C4="","",C4)</f>
      </c>
      <c r="D5" s="40">
        <f>IF(D4="","",D4)</f>
      </c>
      <c r="E5" s="40">
        <f>IF(E4="","",E4)</f>
      </c>
      <c r="F5" s="40">
        <f>IF(F4="","",F4)</f>
      </c>
      <c r="G5" s="40">
        <f>IF(G4="","",G4)</f>
      </c>
      <c r="H5" s="40">
        <f>IF(H4="","",H4)</f>
      </c>
      <c r="I5" s="40">
        <f>IF(I4="","",I4)</f>
      </c>
      <c r="J5" s="40">
        <f>IF(J4="","",J4)</f>
      </c>
      <c r="K5" s="40">
        <f>IF(K4="","",K4)</f>
      </c>
      <c r="L5" s="40">
        <f>IF(L4="","",L4)</f>
      </c>
      <c r="M5" s="40">
        <f>IF(M4="","",M4)</f>
      </c>
      <c r="N5" s="40">
        <f>IF(N4="","",N4)</f>
      </c>
      <c r="O5" s="40">
        <f>IF(O4="","",O4)</f>
      </c>
      <c r="P5" s="40">
        <f>IF(P4="","",P4)</f>
      </c>
      <c r="Q5" s="40">
        <f>IF(Q4="","",Q4)</f>
      </c>
      <c r="R5" s="40">
        <f>IF(R4="","",R4)</f>
      </c>
      <c r="S5" s="40">
        <f>IF(S4="","",S4)</f>
      </c>
      <c r="T5" s="40">
        <f>IF(T4="","",T4)</f>
      </c>
      <c r="U5" s="40">
        <f>IF(U4="","",U4)</f>
      </c>
      <c r="V5" s="40">
        <f>IF(V4="","",V4)</f>
      </c>
      <c r="W5" s="40">
        <f>IF(W4="","",W4)</f>
      </c>
      <c r="X5" s="40">
        <f>IF(X4="","",X4)</f>
      </c>
      <c r="Y5" s="40">
        <f>IF(Y4="","",Y4)</f>
      </c>
      <c r="Z5" s="40">
        <f>IF(Z4="","",Z4)</f>
      </c>
      <c r="AA5" s="40">
        <f>IF(AA4="","",AA4)</f>
      </c>
      <c r="AB5" s="40">
        <f>IF(AB4="","",AB4)</f>
      </c>
      <c r="AC5" s="40">
        <f>IF(AC4="","",AC4)</f>
      </c>
      <c r="AD5" s="40">
        <f>IF(AD4="","",AD4)</f>
      </c>
      <c r="AE5" s="40">
        <f>IF(AE4="","",AE4)</f>
      </c>
      <c r="AF5" s="40">
        <f>IF(AF4="","",AF4)</f>
      </c>
      <c r="AG5" s="39"/>
      <c r="AH5" s="39"/>
      <c r="AI5" s="39"/>
      <c r="AJ5" s="39"/>
    </row>
    <row r="6" ht="16" customHeight="1" spans="1:36" x14ac:dyDescent="0.25">
      <c r="A6" s="37" t="s">
        <v>29</v>
      </c>
      <c r="B6" s="41">
        <f>IF(B4="",0,IF(COUNTIF(Feiertage!$I$2:$I$200,B4)&gt;0,-1,IF(WEEKDAY(B4,2)&gt;5,0,1)))</f>
      </c>
      <c r="C6" s="41">
        <f>IF(C4="",0,IF(COUNTIF(Feiertage!$I$2:$I$200,C4)&gt;0,-1,IF(WEEKDAY(C4,2)&gt;5,0,1)))</f>
      </c>
      <c r="D6" s="41">
        <f>IF(D4="",0,IF(COUNTIF(Feiertage!$I$2:$I$200,D4)&gt;0,-1,IF(WEEKDAY(D4,2)&gt;5,0,1)))</f>
      </c>
      <c r="E6" s="41">
        <f>IF(E4="",0,IF(COUNTIF(Feiertage!$I$2:$I$200,E4)&gt;0,-1,IF(WEEKDAY(E4,2)&gt;5,0,1)))</f>
      </c>
      <c r="F6" s="41">
        <f>IF(F4="",0,IF(COUNTIF(Feiertage!$I$2:$I$200,F4)&gt;0,-1,IF(WEEKDAY(F4,2)&gt;5,0,1)))</f>
      </c>
      <c r="G6" s="41">
        <f>IF(G4="",0,IF(COUNTIF(Feiertage!$I$2:$I$200,G4)&gt;0,-1,IF(WEEKDAY(G4,2)&gt;5,0,1)))</f>
      </c>
      <c r="H6" s="41">
        <f>IF(H4="",0,IF(COUNTIF(Feiertage!$I$2:$I$200,H4)&gt;0,-1,IF(WEEKDAY(H4,2)&gt;5,0,1)))</f>
      </c>
      <c r="I6" s="41">
        <f>IF(I4="",0,IF(COUNTIF(Feiertage!$I$2:$I$200,I4)&gt;0,-1,IF(WEEKDAY(I4,2)&gt;5,0,1)))</f>
      </c>
      <c r="J6" s="41">
        <f>IF(J4="",0,IF(COUNTIF(Feiertage!$I$2:$I$200,J4)&gt;0,-1,IF(WEEKDAY(J4,2)&gt;5,0,1)))</f>
      </c>
      <c r="K6" s="41">
        <f>IF(K4="",0,IF(COUNTIF(Feiertage!$I$2:$I$200,K4)&gt;0,-1,IF(WEEKDAY(K4,2)&gt;5,0,1)))</f>
      </c>
      <c r="L6" s="41">
        <f>IF(L4="",0,IF(COUNTIF(Feiertage!$I$2:$I$200,L4)&gt;0,-1,IF(WEEKDAY(L4,2)&gt;5,0,1)))</f>
      </c>
      <c r="M6" s="41">
        <f>IF(M4="",0,IF(COUNTIF(Feiertage!$I$2:$I$200,M4)&gt;0,-1,IF(WEEKDAY(M4,2)&gt;5,0,1)))</f>
      </c>
      <c r="N6" s="41">
        <f>IF(N4="",0,IF(COUNTIF(Feiertage!$I$2:$I$200,N4)&gt;0,-1,IF(WEEKDAY(N4,2)&gt;5,0,1)))</f>
      </c>
      <c r="O6" s="41">
        <f>IF(O4="",0,IF(COUNTIF(Feiertage!$I$2:$I$200,O4)&gt;0,-1,IF(WEEKDAY(O4,2)&gt;5,0,1)))</f>
      </c>
      <c r="P6" s="41">
        <f>IF(P4="",0,IF(COUNTIF(Feiertage!$I$2:$I$200,P4)&gt;0,-1,IF(WEEKDAY(P4,2)&gt;5,0,1)))</f>
      </c>
      <c r="Q6" s="41">
        <f>IF(Q4="",0,IF(COUNTIF(Feiertage!$I$2:$I$200,Q4)&gt;0,-1,IF(WEEKDAY(Q4,2)&gt;5,0,1)))</f>
      </c>
      <c r="R6" s="41">
        <f>IF(R4="",0,IF(COUNTIF(Feiertage!$I$2:$I$200,R4)&gt;0,-1,IF(WEEKDAY(R4,2)&gt;5,0,1)))</f>
      </c>
      <c r="S6" s="41">
        <f>IF(S4="",0,IF(COUNTIF(Feiertage!$I$2:$I$200,S4)&gt;0,-1,IF(WEEKDAY(S4,2)&gt;5,0,1)))</f>
      </c>
      <c r="T6" s="41">
        <f>IF(T4="",0,IF(COUNTIF(Feiertage!$I$2:$I$200,T4)&gt;0,-1,IF(WEEKDAY(T4,2)&gt;5,0,1)))</f>
      </c>
      <c r="U6" s="41">
        <f>IF(U4="",0,IF(COUNTIF(Feiertage!$I$2:$I$200,U4)&gt;0,-1,IF(WEEKDAY(U4,2)&gt;5,0,1)))</f>
      </c>
      <c r="V6" s="41">
        <f>IF(V4="",0,IF(COUNTIF(Feiertage!$I$2:$I$200,V4)&gt;0,-1,IF(WEEKDAY(V4,2)&gt;5,0,1)))</f>
      </c>
      <c r="W6" s="41">
        <f>IF(W4="",0,IF(COUNTIF(Feiertage!$I$2:$I$200,W4)&gt;0,-1,IF(WEEKDAY(W4,2)&gt;5,0,1)))</f>
      </c>
      <c r="X6" s="41">
        <f>IF(X4="",0,IF(COUNTIF(Feiertage!$I$2:$I$200,X4)&gt;0,-1,IF(WEEKDAY(X4,2)&gt;5,0,1)))</f>
      </c>
      <c r="Y6" s="41">
        <f>IF(Y4="",0,IF(COUNTIF(Feiertage!$I$2:$I$200,Y4)&gt;0,-1,IF(WEEKDAY(Y4,2)&gt;5,0,1)))</f>
      </c>
      <c r="Z6" s="41">
        <f>IF(Z4="",0,IF(COUNTIF(Feiertage!$I$2:$I$200,Z4)&gt;0,-1,IF(WEEKDAY(Z4,2)&gt;5,0,1)))</f>
      </c>
      <c r="AA6" s="41">
        <f>IF(AA4="",0,IF(COUNTIF(Feiertage!$I$2:$I$200,AA4)&gt;0,-1,IF(WEEKDAY(AA4,2)&gt;5,0,1)))</f>
      </c>
      <c r="AB6" s="41">
        <f>IF(AB4="",0,IF(COUNTIF(Feiertage!$I$2:$I$200,AB4)&gt;0,-1,IF(WEEKDAY(AB4,2)&gt;5,0,1)))</f>
      </c>
      <c r="AC6" s="41">
        <f>IF(AC4="",0,IF(COUNTIF(Feiertage!$I$2:$I$200,AC4)&gt;0,-1,IF(WEEKDAY(AC4,2)&gt;5,0,1)))</f>
      </c>
      <c r="AD6" s="41">
        <f>IF(AD4="",0,IF(COUNTIF(Feiertage!$I$2:$I$200,AD4)&gt;0,-1,IF(WEEKDAY(AD4,2)&gt;5,0,1)))</f>
      </c>
      <c r="AE6" s="41">
        <f>IF(AE4="",0,IF(COUNTIF(Feiertage!$I$2:$I$200,AE4)&gt;0,-1,IF(WEEKDAY(AE4,2)&gt;5,0,1)))</f>
      </c>
      <c r="AF6" s="41">
        <f>IF(AF4="",0,IF(COUNTIF(Feiertage!$I$2:$I$200,AF4)&gt;0,-1,IF(WEEKDAY(AF4,2)&gt;5,0,1)))</f>
      </c>
      <c r="AG6" s="39"/>
      <c r="AH6" s="39"/>
      <c r="AI6" s="39"/>
      <c r="AJ6" s="39"/>
    </row>
    <row r="7" ht="17" customHeight="1" spans="1:36" x14ac:dyDescent="0.25">
      <c r="A7" s="9" t="s">
        <v>52</v>
      </c>
      <c r="B7" s="42"/>
      <c r="C7" s="42"/>
      <c r="D7" s="42"/>
      <c r="E7" s="42"/>
      <c r="F7" s="42"/>
      <c r="G7" s="42"/>
      <c r="H7" s="42" t="s">
        <v>7</v>
      </c>
      <c r="I7" s="42"/>
      <c r="J7" s="42"/>
      <c r="K7" s="42"/>
      <c r="L7" s="42"/>
      <c r="M7" s="42"/>
      <c r="N7" s="42"/>
      <c r="O7" s="42"/>
      <c r="P7" s="42"/>
      <c r="Q7" s="42"/>
      <c r="R7" s="42"/>
      <c r="S7" s="42"/>
      <c r="T7" s="42"/>
      <c r="U7" s="42"/>
      <c r="V7" s="42"/>
      <c r="W7" s="42"/>
      <c r="X7" s="42"/>
      <c r="Y7" s="42"/>
      <c r="Z7" s="42" t="s">
        <v>7</v>
      </c>
      <c r="AA7" s="42" t="s">
        <v>7</v>
      </c>
      <c r="AB7" s="42" t="s">
        <v>7</v>
      </c>
      <c r="AC7" s="42" t="s">
        <v>7</v>
      </c>
      <c r="AD7" s="42"/>
      <c r="AE7" s="42"/>
      <c r="AF7" s="42"/>
      <c r="AG7" s="43">
        <f>SUMPRODUCT((B7:AF7="U")*($B$6:$AF$6=1))+0.5*SUMPRODUCT((B7:AF7="H")*($B$6:$AF$6=1))</f>
      </c>
      <c r="AH7" s="44">
        <f>SUMPRODUCT((B7:AF7="K")*($B$6:$AF$6=1))</f>
      </c>
      <c r="AI7" s="44">
        <f>SUMPRODUCT((B7:AF7="S")*($B$6:$AF$6=1))</f>
      </c>
      <c r="AJ7" s="44">
        <f>SUMPRODUCT((B7:AF7="ZA")*($B$6:$AF$6=1))</f>
      </c>
    </row>
    <row r="8" ht="17" customHeight="1" spans="1:36" x14ac:dyDescent="0.25">
      <c r="A8" s="9" t="s">
        <v>53</v>
      </c>
      <c r="B8" s="42"/>
      <c r="C8" s="42"/>
      <c r="D8" s="42" t="s">
        <v>7</v>
      </c>
      <c r="E8" s="42" t="s">
        <v>7</v>
      </c>
      <c r="F8" s="42" t="s">
        <v>7</v>
      </c>
      <c r="G8" s="42" t="s">
        <v>7</v>
      </c>
      <c r="H8" s="42" t="s">
        <v>7</v>
      </c>
      <c r="I8" s="42"/>
      <c r="J8" s="42"/>
      <c r="K8" s="42"/>
      <c r="L8" s="42"/>
      <c r="M8" s="42"/>
      <c r="N8" s="42"/>
      <c r="O8" s="42"/>
      <c r="P8" s="42"/>
      <c r="Q8" s="42"/>
      <c r="R8" s="42"/>
      <c r="S8" s="42"/>
      <c r="T8" s="42"/>
      <c r="U8" s="42"/>
      <c r="V8" s="42"/>
      <c r="W8" s="42"/>
      <c r="X8" s="42"/>
      <c r="Y8" s="42"/>
      <c r="Z8" s="42"/>
      <c r="AA8" s="42"/>
      <c r="AB8" s="42"/>
      <c r="AC8" s="42"/>
      <c r="AD8" s="42"/>
      <c r="AE8" s="42"/>
      <c r="AF8" s="42"/>
      <c r="AG8" s="43">
        <f>SUMPRODUCT((B8:AF8="U")*($B$6:$AF$6=1))+0.5*SUMPRODUCT((B8:AF8="H")*($B$6:$AF$6=1))</f>
      </c>
      <c r="AH8" s="44">
        <f>SUMPRODUCT((B8:AF8="K")*($B$6:$AF$6=1))</f>
      </c>
      <c r="AI8" s="44">
        <f>SUMPRODUCT((B8:AF8="S")*($B$6:$AF$6=1))</f>
      </c>
      <c r="AJ8" s="44">
        <f>SUMPRODUCT((B8:AF8="ZA")*($B$6:$AF$6=1))</f>
      </c>
    </row>
    <row r="9" ht="17" customHeight="1" spans="1:36" x14ac:dyDescent="0.25">
      <c r="A9" s="9" t="s">
        <v>54</v>
      </c>
      <c r="B9" s="42"/>
      <c r="C9" s="42"/>
      <c r="D9" s="42"/>
      <c r="E9" s="42"/>
      <c r="F9" s="42"/>
      <c r="G9" s="42"/>
      <c r="H9" s="42"/>
      <c r="I9" s="42"/>
      <c r="J9" s="42"/>
      <c r="K9" s="42" t="s">
        <v>14</v>
      </c>
      <c r="L9" s="42" t="s">
        <v>14</v>
      </c>
      <c r="M9" s="42" t="s">
        <v>14</v>
      </c>
      <c r="N9" s="42"/>
      <c r="O9" s="42"/>
      <c r="P9" s="42"/>
      <c r="Q9" s="42"/>
      <c r="R9" s="42"/>
      <c r="S9" s="42"/>
      <c r="T9" s="42"/>
      <c r="U9" s="42"/>
      <c r="V9" s="42" t="s">
        <v>11</v>
      </c>
      <c r="W9" s="42"/>
      <c r="X9" s="42"/>
      <c r="Y9" s="42"/>
      <c r="Z9" s="42"/>
      <c r="AA9" s="42"/>
      <c r="AB9" s="42"/>
      <c r="AC9" s="42"/>
      <c r="AD9" s="42"/>
      <c r="AE9" s="42"/>
      <c r="AF9" s="42"/>
      <c r="AG9" s="43">
        <f>SUMPRODUCT((B9:AF9="U")*($B$6:$AF$6=1))+0.5*SUMPRODUCT((B9:AF9="H")*($B$6:$AF$6=1))</f>
      </c>
      <c r="AH9" s="44">
        <f>SUMPRODUCT((B9:AF9="K")*($B$6:$AF$6=1))</f>
      </c>
      <c r="AI9" s="44">
        <f>SUMPRODUCT((B9:AF9="S")*($B$6:$AF$6=1))</f>
      </c>
      <c r="AJ9" s="44">
        <f>SUMPRODUCT((B9:AF9="ZA")*($B$6:$AF$6=1))</f>
      </c>
    </row>
    <row r="10" ht="17" customHeight="1" spans="1:36" x14ac:dyDescent="0.25">
      <c r="A10" s="9" t="s">
        <v>55</v>
      </c>
      <c r="B10" s="42"/>
      <c r="C10" s="42"/>
      <c r="D10" s="42"/>
      <c r="E10" s="42"/>
      <c r="F10" s="42"/>
      <c r="G10" s="42"/>
      <c r="H10" s="42"/>
      <c r="I10" s="42"/>
      <c r="J10" s="42"/>
      <c r="K10" s="42"/>
      <c r="L10" s="42"/>
      <c r="M10" s="42"/>
      <c r="N10" s="42"/>
      <c r="O10" s="42"/>
      <c r="P10" s="42"/>
      <c r="Q10" s="42"/>
      <c r="R10" s="42"/>
      <c r="S10" s="42" t="s">
        <v>7</v>
      </c>
      <c r="T10" s="42" t="s">
        <v>7</v>
      </c>
      <c r="U10" s="42" t="s">
        <v>7</v>
      </c>
      <c r="V10" s="42" t="s">
        <v>7</v>
      </c>
      <c r="W10" s="42"/>
      <c r="X10" s="42"/>
      <c r="Y10" s="42"/>
      <c r="Z10" s="42"/>
      <c r="AA10" s="42"/>
      <c r="AB10" s="42"/>
      <c r="AC10" s="42" t="s">
        <v>20</v>
      </c>
      <c r="AD10" s="42"/>
      <c r="AE10" s="42"/>
      <c r="AF10" s="42"/>
      <c r="AG10" s="43">
        <f>SUMPRODUCT((B10:AF10="U")*($B$6:$AF$6=1))+0.5*SUMPRODUCT((B10:AF10="H")*($B$6:$AF$6=1))</f>
      </c>
      <c r="AH10" s="44">
        <f>SUMPRODUCT((B10:AF10="K")*($B$6:$AF$6=1))</f>
      </c>
      <c r="AI10" s="44">
        <f>SUMPRODUCT((B10:AF10="S")*($B$6:$AF$6=1))</f>
      </c>
      <c r="AJ10" s="44">
        <f>SUMPRODUCT((B10:AF10="ZA")*($B$6:$AF$6=1))</f>
      </c>
    </row>
    <row r="11" ht="17" customHeight="1" spans="1:36" x14ac:dyDescent="0.25">
      <c r="A11" s="9" t="s">
        <v>56</v>
      </c>
      <c r="B11" s="42"/>
      <c r="C11" s="42"/>
      <c r="D11" s="42"/>
      <c r="E11" s="42"/>
      <c r="F11" s="42"/>
      <c r="G11" s="42"/>
      <c r="H11" s="42"/>
      <c r="I11" s="42"/>
      <c r="J11" s="42"/>
      <c r="K11" s="42"/>
      <c r="L11" s="42"/>
      <c r="M11" s="42" t="s">
        <v>18</v>
      </c>
      <c r="N11" s="42"/>
      <c r="O11" s="42"/>
      <c r="P11" s="42"/>
      <c r="Q11" s="42"/>
      <c r="R11" s="42"/>
      <c r="S11" s="42"/>
      <c r="T11" s="42"/>
      <c r="U11" s="42"/>
      <c r="V11" s="42"/>
      <c r="W11" s="42"/>
      <c r="X11" s="42"/>
      <c r="Y11" s="42"/>
      <c r="Z11" s="42"/>
      <c r="AA11" s="42"/>
      <c r="AB11" s="42"/>
      <c r="AC11" s="42"/>
      <c r="AD11" s="42"/>
      <c r="AE11" s="42"/>
      <c r="AF11" s="42" t="s">
        <v>7</v>
      </c>
      <c r="AG11" s="43">
        <f>SUMPRODUCT((B11:AF11="U")*($B$6:$AF$6=1))+0.5*SUMPRODUCT((B11:AF11="H")*($B$6:$AF$6=1))</f>
      </c>
      <c r="AH11" s="44">
        <f>SUMPRODUCT((B11:AF11="K")*($B$6:$AF$6=1))</f>
      </c>
      <c r="AI11" s="44">
        <f>SUMPRODUCT((B11:AF11="S")*($B$6:$AF$6=1))</f>
      </c>
      <c r="AJ11" s="44">
        <f>SUMPRODUCT((B11:AF11="ZA")*($B$6:$AF$6=1))</f>
      </c>
    </row>
    <row r="12" ht="17" customHeight="1" spans="1:36" x14ac:dyDescent="0.25">
      <c r="A12" s="9" t="s">
        <v>57</v>
      </c>
      <c r="B12" s="42"/>
      <c r="C12" s="42"/>
      <c r="D12" s="42"/>
      <c r="E12" s="42"/>
      <c r="F12" s="42"/>
      <c r="G12" s="42"/>
      <c r="H12" s="42" t="s">
        <v>20</v>
      </c>
      <c r="I12" s="42"/>
      <c r="J12" s="42"/>
      <c r="K12" s="42"/>
      <c r="L12" s="42"/>
      <c r="M12" s="42"/>
      <c r="N12" s="42"/>
      <c r="O12" s="42"/>
      <c r="P12" s="42"/>
      <c r="Q12" s="42"/>
      <c r="R12" s="42"/>
      <c r="S12" s="42"/>
      <c r="T12" s="42"/>
      <c r="U12" s="42"/>
      <c r="V12" s="42"/>
      <c r="W12" s="42"/>
      <c r="X12" s="42"/>
      <c r="Y12" s="42"/>
      <c r="Z12" s="42"/>
      <c r="AA12" s="42"/>
      <c r="AB12" s="42"/>
      <c r="AC12" s="42" t="s">
        <v>7</v>
      </c>
      <c r="AD12" s="42"/>
      <c r="AE12" s="42"/>
      <c r="AF12" s="42"/>
      <c r="AG12" s="43">
        <f>SUMPRODUCT((B12:AF12="U")*($B$6:$AF$6=1))+0.5*SUMPRODUCT((B12:AF12="H")*($B$6:$AF$6=1))</f>
      </c>
      <c r="AH12" s="44">
        <f>SUMPRODUCT((B12:AF12="K")*($B$6:$AF$6=1))</f>
      </c>
      <c r="AI12" s="44">
        <f>SUMPRODUCT((B12:AF12="S")*($B$6:$AF$6=1))</f>
      </c>
      <c r="AJ12" s="44">
        <f>SUMPRODUCT((B12:AF12="ZA")*($B$6:$AF$6=1))</f>
      </c>
    </row>
    <row r="13" ht="17" customHeight="1" spans="1:36" x14ac:dyDescent="0.25">
      <c r="A13" s="9"/>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3">
        <f>SUMPRODUCT((B13:AF13="U")*($B$6:$AF$6=1))+0.5*SUMPRODUCT((B13:AF13="H")*($B$6:$AF$6=1))</f>
      </c>
      <c r="AH13" s="44">
        <f>SUMPRODUCT((B13:AF13="K")*($B$6:$AF$6=1))</f>
      </c>
      <c r="AI13" s="44">
        <f>SUMPRODUCT((B13:AF13="S")*($B$6:$AF$6=1))</f>
      </c>
      <c r="AJ13" s="44">
        <f>SUMPRODUCT((B13:AF13="ZA")*($B$6:$AF$6=1))</f>
      </c>
    </row>
    <row r="14" ht="17" customHeight="1" spans="1:36" x14ac:dyDescent="0.25">
      <c r="A14" s="9"/>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3">
        <f>SUMPRODUCT((B14:AF14="U")*($B$6:$AF$6=1))+0.5*SUMPRODUCT((B14:AF14="H")*($B$6:$AF$6=1))</f>
      </c>
      <c r="AH14" s="44">
        <f>SUMPRODUCT((B14:AF14="K")*($B$6:$AF$6=1))</f>
      </c>
      <c r="AI14" s="44">
        <f>SUMPRODUCT((B14:AF14="S")*($B$6:$AF$6=1))</f>
      </c>
      <c r="AJ14" s="44">
        <f>SUMPRODUCT((B14:AF14="ZA")*($B$6:$AF$6=1))</f>
      </c>
    </row>
    <row r="15" ht="17" customHeight="1" spans="1:36" x14ac:dyDescent="0.25">
      <c r="A15" s="9"/>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3">
        <f>SUMPRODUCT((B15:AF15="U")*($B$6:$AF$6=1))+0.5*SUMPRODUCT((B15:AF15="H")*($B$6:$AF$6=1))</f>
      </c>
      <c r="AH15" s="44">
        <f>SUMPRODUCT((B15:AF15="K")*($B$6:$AF$6=1))</f>
      </c>
      <c r="AI15" s="44">
        <f>SUMPRODUCT((B15:AF15="S")*($B$6:$AF$6=1))</f>
      </c>
      <c r="AJ15" s="44">
        <f>SUMPRODUCT((B15:AF15="ZA")*($B$6:$AF$6=1))</f>
      </c>
    </row>
    <row r="16" ht="17" customHeight="1" spans="1:36" x14ac:dyDescent="0.25">
      <c r="A16" s="9"/>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3">
        <f>SUMPRODUCT((B16:AF16="U")*($B$6:$AF$6=1))+0.5*SUMPRODUCT((B16:AF16="H")*($B$6:$AF$6=1))</f>
      </c>
      <c r="AH16" s="44">
        <f>SUMPRODUCT((B16:AF16="K")*($B$6:$AF$6=1))</f>
      </c>
      <c r="AI16" s="44">
        <f>SUMPRODUCT((B16:AF16="S")*($B$6:$AF$6=1))</f>
      </c>
      <c r="AJ16" s="44">
        <f>SUMPRODUCT((B16:AF16="ZA")*($B$6:$AF$6=1))</f>
      </c>
    </row>
    <row r="17" ht="17" customHeight="1" spans="1:36" x14ac:dyDescent="0.25">
      <c r="A17" s="9"/>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3">
        <f>SUMPRODUCT((B17:AF17="U")*($B$6:$AF$6=1))+0.5*SUMPRODUCT((B17:AF17="H")*($B$6:$AF$6=1))</f>
      </c>
      <c r="AH17" s="44">
        <f>SUMPRODUCT((B17:AF17="K")*($B$6:$AF$6=1))</f>
      </c>
      <c r="AI17" s="44">
        <f>SUMPRODUCT((B17:AF17="S")*($B$6:$AF$6=1))</f>
      </c>
      <c r="AJ17" s="44">
        <f>SUMPRODUCT((B17:AF17="ZA")*($B$6:$AF$6=1))</f>
      </c>
    </row>
    <row r="18" ht="17" customHeight="1" spans="1:36" x14ac:dyDescent="0.25">
      <c r="A18" s="9"/>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3">
        <f>SUMPRODUCT((B18:AF18="U")*($B$6:$AF$6=1))+0.5*SUMPRODUCT((B18:AF18="H")*($B$6:$AF$6=1))</f>
      </c>
      <c r="AH18" s="44">
        <f>SUMPRODUCT((B18:AF18="K")*($B$6:$AF$6=1))</f>
      </c>
      <c r="AI18" s="44">
        <f>SUMPRODUCT((B18:AF18="S")*($B$6:$AF$6=1))</f>
      </c>
      <c r="AJ18" s="44">
        <f>SUMPRODUCT((B18:AF18="ZA")*($B$6:$AF$6=1))</f>
      </c>
    </row>
    <row r="19" ht="17" customHeight="1" spans="1:36" x14ac:dyDescent="0.25">
      <c r="A19" s="9"/>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3">
        <f>SUMPRODUCT((B19:AF19="U")*($B$6:$AF$6=1))+0.5*SUMPRODUCT((B19:AF19="H")*($B$6:$AF$6=1))</f>
      </c>
      <c r="AH19" s="44">
        <f>SUMPRODUCT((B19:AF19="K")*($B$6:$AF$6=1))</f>
      </c>
      <c r="AI19" s="44">
        <f>SUMPRODUCT((B19:AF19="S")*($B$6:$AF$6=1))</f>
      </c>
      <c r="AJ19" s="44">
        <f>SUMPRODUCT((B19:AF19="ZA")*($B$6:$AF$6=1))</f>
      </c>
    </row>
    <row r="20" ht="17" customHeight="1" spans="1:36" x14ac:dyDescent="0.25">
      <c r="A20" s="9"/>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3">
        <f>SUMPRODUCT((B20:AF20="U")*($B$6:$AF$6=1))+0.5*SUMPRODUCT((B20:AF20="H")*($B$6:$AF$6=1))</f>
      </c>
      <c r="AH20" s="44">
        <f>SUMPRODUCT((B20:AF20="K")*($B$6:$AF$6=1))</f>
      </c>
      <c r="AI20" s="44">
        <f>SUMPRODUCT((B20:AF20="S")*($B$6:$AF$6=1))</f>
      </c>
      <c r="AJ20" s="44">
        <f>SUMPRODUCT((B20:AF20="ZA")*($B$6:$AF$6=1))</f>
      </c>
    </row>
    <row r="21" ht="17" customHeight="1" spans="1:36" x14ac:dyDescent="0.25">
      <c r="A21" s="9"/>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3">
        <f>SUMPRODUCT((B21:AF21="U")*($B$6:$AF$6=1))+0.5*SUMPRODUCT((B21:AF21="H")*($B$6:$AF$6=1))</f>
      </c>
      <c r="AH21" s="44">
        <f>SUMPRODUCT((B21:AF21="K")*($B$6:$AF$6=1))</f>
      </c>
      <c r="AI21" s="44">
        <f>SUMPRODUCT((B21:AF21="S")*($B$6:$AF$6=1))</f>
      </c>
      <c r="AJ21" s="44">
        <f>SUMPRODUCT((B21:AF21="ZA")*($B$6:$AF$6=1))</f>
      </c>
    </row>
    <row r="22" ht="17" customHeight="1" spans="1:36" x14ac:dyDescent="0.25">
      <c r="A22" s="9"/>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3">
        <f>SUMPRODUCT((B22:AF22="U")*($B$6:$AF$6=1))+0.5*SUMPRODUCT((B22:AF22="H")*($B$6:$AF$6=1))</f>
      </c>
      <c r="AH22" s="44">
        <f>SUMPRODUCT((B22:AF22="K")*($B$6:$AF$6=1))</f>
      </c>
      <c r="AI22" s="44">
        <f>SUMPRODUCT((B22:AF22="S")*($B$6:$AF$6=1))</f>
      </c>
      <c r="AJ22" s="44">
        <f>SUMPRODUCT((B22:AF22="ZA")*($B$6:$AF$6=1))</f>
      </c>
    </row>
    <row r="23" ht="17" customHeight="1" spans="1:36" x14ac:dyDescent="0.25">
      <c r="A23" s="9"/>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3">
        <f>SUMPRODUCT((B23:AF23="U")*($B$6:$AF$6=1))+0.5*SUMPRODUCT((B23:AF23="H")*($B$6:$AF$6=1))</f>
      </c>
      <c r="AH23" s="44">
        <f>SUMPRODUCT((B23:AF23="K")*($B$6:$AF$6=1))</f>
      </c>
      <c r="AI23" s="44">
        <f>SUMPRODUCT((B23:AF23="S")*($B$6:$AF$6=1))</f>
      </c>
      <c r="AJ23" s="44">
        <f>SUMPRODUCT((B23:AF23="ZA")*($B$6:$AF$6=1))</f>
      </c>
    </row>
    <row r="24" ht="17" customHeight="1" spans="1:36" x14ac:dyDescent="0.25">
      <c r="A24" s="9"/>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3">
        <f>SUMPRODUCT((B24:AF24="U")*($B$6:$AF$6=1))+0.5*SUMPRODUCT((B24:AF24="H")*($B$6:$AF$6=1))</f>
      </c>
      <c r="AH24" s="44">
        <f>SUMPRODUCT((B24:AF24="K")*($B$6:$AF$6=1))</f>
      </c>
      <c r="AI24" s="44">
        <f>SUMPRODUCT((B24:AF24="S")*($B$6:$AF$6=1))</f>
      </c>
      <c r="AJ24" s="44">
        <f>SUMPRODUCT((B24:AF24="ZA")*($B$6:$AF$6=1))</f>
      </c>
    </row>
    <row r="25" ht="17" customHeight="1" spans="1:36" x14ac:dyDescent="0.25">
      <c r="A25" s="9"/>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3">
        <f>SUMPRODUCT((B25:AF25="U")*($B$6:$AF$6=1))+0.5*SUMPRODUCT((B25:AF25="H")*($B$6:$AF$6=1))</f>
      </c>
      <c r="AH25" s="44">
        <f>SUMPRODUCT((B25:AF25="K")*($B$6:$AF$6=1))</f>
      </c>
      <c r="AI25" s="44">
        <f>SUMPRODUCT((B25:AF25="S")*($B$6:$AF$6=1))</f>
      </c>
      <c r="AJ25" s="44">
        <f>SUMPRODUCT((B25:AF25="ZA")*($B$6:$AF$6=1))</f>
      </c>
    </row>
    <row r="26" ht="17" customHeight="1" spans="1:36" x14ac:dyDescent="0.25">
      <c r="A26" s="9"/>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3">
        <f>SUMPRODUCT((B26:AF26="U")*($B$6:$AF$6=1))+0.5*SUMPRODUCT((B26:AF26="H")*($B$6:$AF$6=1))</f>
      </c>
      <c r="AH26" s="44">
        <f>SUMPRODUCT((B26:AF26="K")*($B$6:$AF$6=1))</f>
      </c>
      <c r="AI26" s="44">
        <f>SUMPRODUCT((B26:AF26="S")*($B$6:$AF$6=1))</f>
      </c>
      <c r="AJ26" s="44">
        <f>SUMPRODUCT((B26:AF26="ZA")*($B$6:$AF$6=1))</f>
      </c>
    </row>
    <row r="27" ht="17" customHeight="1" spans="1:36" x14ac:dyDescent="0.25">
      <c r="A27" s="9"/>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3">
        <f>SUMPRODUCT((B27:AF27="U")*($B$6:$AF$6=1))+0.5*SUMPRODUCT((B27:AF27="H")*($B$6:$AF$6=1))</f>
      </c>
      <c r="AH27" s="44">
        <f>SUMPRODUCT((B27:AF27="K")*($B$6:$AF$6=1))</f>
      </c>
      <c r="AI27" s="44">
        <f>SUMPRODUCT((B27:AF27="S")*($B$6:$AF$6=1))</f>
      </c>
      <c r="AJ27" s="44">
        <f>SUMPRODUCT((B27:AF27="ZA")*($B$6:$AF$6=1))</f>
      </c>
    </row>
    <row r="28" ht="17" customHeight="1" spans="1:36" x14ac:dyDescent="0.25">
      <c r="A28" s="9"/>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3">
        <f>SUMPRODUCT((B28:AF28="U")*($B$6:$AF$6=1))+0.5*SUMPRODUCT((B28:AF28="H")*($B$6:$AF$6=1))</f>
      </c>
      <c r="AH28" s="44">
        <f>SUMPRODUCT((B28:AF28="K")*($B$6:$AF$6=1))</f>
      </c>
      <c r="AI28" s="44">
        <f>SUMPRODUCT((B28:AF28="S")*($B$6:$AF$6=1))</f>
      </c>
      <c r="AJ28" s="44">
        <f>SUMPRODUCT((B28:AF28="ZA")*($B$6:$AF$6=1))</f>
      </c>
    </row>
    <row r="29" ht="17" customHeight="1" spans="1:36" x14ac:dyDescent="0.25">
      <c r="A29" s="9"/>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3">
        <f>SUMPRODUCT((B29:AF29="U")*($B$6:$AF$6=1))+0.5*SUMPRODUCT((B29:AF29="H")*($B$6:$AF$6=1))</f>
      </c>
      <c r="AH29" s="44">
        <f>SUMPRODUCT((B29:AF29="K")*($B$6:$AF$6=1))</f>
      </c>
      <c r="AI29" s="44">
        <f>SUMPRODUCT((B29:AF29="S")*($B$6:$AF$6=1))</f>
      </c>
      <c r="AJ29" s="44">
        <f>SUMPRODUCT((B29:AF29="ZA")*($B$6:$AF$6=1))</f>
      </c>
    </row>
    <row r="30" ht="17" customHeight="1" spans="1:36" x14ac:dyDescent="0.25">
      <c r="A30" s="9"/>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3">
        <f>SUMPRODUCT((B30:AF30="U")*($B$6:$AF$6=1))+0.5*SUMPRODUCT((B30:AF30="H")*($B$6:$AF$6=1))</f>
      </c>
      <c r="AH30" s="44">
        <f>SUMPRODUCT((B30:AF30="K")*($B$6:$AF$6=1))</f>
      </c>
      <c r="AI30" s="44">
        <f>SUMPRODUCT((B30:AF30="S")*($B$6:$AF$6=1))</f>
      </c>
      <c r="AJ30" s="44">
        <f>SUMPRODUCT((B30:AF30="ZA")*($B$6:$AF$6=1))</f>
      </c>
    </row>
    <row r="31" ht="17" customHeight="1" spans="1:36" x14ac:dyDescent="0.25">
      <c r="A31" s="9"/>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3">
        <f>SUMPRODUCT((B31:AF31="U")*($B$6:$AF$6=1))+0.5*SUMPRODUCT((B31:AF31="H")*($B$6:$AF$6=1))</f>
      </c>
      <c r="AH31" s="44">
        <f>SUMPRODUCT((B31:AF31="K")*($B$6:$AF$6=1))</f>
      </c>
      <c r="AI31" s="44">
        <f>SUMPRODUCT((B31:AF31="S")*($B$6:$AF$6=1))</f>
      </c>
      <c r="AJ31" s="44">
        <f>SUMPRODUCT((B31:AF31="ZA")*($B$6:$AF$6=1))</f>
      </c>
    </row>
    <row r="32" ht="18" customHeight="1" spans="1:36" x14ac:dyDescent="0.25">
      <c r="A32" s="27" t="s">
        <v>51</v>
      </c>
      <c r="B32" s="45">
        <f>IF(B6&lt;&gt;1,"",COUNTA(B7:B31))</f>
      </c>
      <c r="C32" s="45">
        <f>IF(C6&lt;&gt;1,"",COUNTA(C7:C31))</f>
      </c>
      <c r="D32" s="45">
        <f>IF(D6&lt;&gt;1,"",COUNTA(D7:D31))</f>
      </c>
      <c r="E32" s="45">
        <f>IF(E6&lt;&gt;1,"",COUNTA(E7:E31))</f>
      </c>
      <c r="F32" s="45">
        <f>IF(F6&lt;&gt;1,"",COUNTA(F7:F31))</f>
      </c>
      <c r="G32" s="45">
        <f>IF(G6&lt;&gt;1,"",COUNTA(G7:G31))</f>
      </c>
      <c r="H32" s="45">
        <f>IF(H6&lt;&gt;1,"",COUNTA(H7:H31))</f>
      </c>
      <c r="I32" s="45">
        <f>IF(I6&lt;&gt;1,"",COUNTA(I7:I31))</f>
      </c>
      <c r="J32" s="45">
        <f>IF(J6&lt;&gt;1,"",COUNTA(J7:J31))</f>
      </c>
      <c r="K32" s="45">
        <f>IF(K6&lt;&gt;1,"",COUNTA(K7:K31))</f>
      </c>
      <c r="L32" s="45">
        <f>IF(L6&lt;&gt;1,"",COUNTA(L7:L31))</f>
      </c>
      <c r="M32" s="45">
        <f>IF(M6&lt;&gt;1,"",COUNTA(M7:M31))</f>
      </c>
      <c r="N32" s="45">
        <f>IF(N6&lt;&gt;1,"",COUNTA(N7:N31))</f>
      </c>
      <c r="O32" s="45">
        <f>IF(O6&lt;&gt;1,"",COUNTA(O7:O31))</f>
      </c>
      <c r="P32" s="45">
        <f>IF(P6&lt;&gt;1,"",COUNTA(P7:P31))</f>
      </c>
      <c r="Q32" s="45">
        <f>IF(Q6&lt;&gt;1,"",COUNTA(Q7:Q31))</f>
      </c>
      <c r="R32" s="45">
        <f>IF(R6&lt;&gt;1,"",COUNTA(R7:R31))</f>
      </c>
      <c r="S32" s="45">
        <f>IF(S6&lt;&gt;1,"",COUNTA(S7:S31))</f>
      </c>
      <c r="T32" s="45">
        <f>IF(T6&lt;&gt;1,"",COUNTA(T7:T31))</f>
      </c>
      <c r="U32" s="45">
        <f>IF(U6&lt;&gt;1,"",COUNTA(U7:U31))</f>
      </c>
      <c r="V32" s="45">
        <f>IF(V6&lt;&gt;1,"",COUNTA(V7:V31))</f>
      </c>
      <c r="W32" s="45">
        <f>IF(W6&lt;&gt;1,"",COUNTA(W7:W31))</f>
      </c>
      <c r="X32" s="45">
        <f>IF(X6&lt;&gt;1,"",COUNTA(X7:X31))</f>
      </c>
      <c r="Y32" s="45">
        <f>IF(Y6&lt;&gt;1,"",COUNTA(Y7:Y31))</f>
      </c>
      <c r="Z32" s="45">
        <f>IF(Z6&lt;&gt;1,"",COUNTA(Z7:Z31))</f>
      </c>
      <c r="AA32" s="45">
        <f>IF(AA6&lt;&gt;1,"",COUNTA(AA7:AA31))</f>
      </c>
      <c r="AB32" s="45">
        <f>IF(AB6&lt;&gt;1,"",COUNTA(AB7:AB31))</f>
      </c>
      <c r="AC32" s="45">
        <f>IF(AC6&lt;&gt;1,"",COUNTA(AC7:AC31))</f>
      </c>
      <c r="AD32" s="45">
        <f>IF(AD6&lt;&gt;1,"",COUNTA(AD7:AD31))</f>
      </c>
      <c r="AE32" s="45">
        <f>IF(AE6&lt;&gt;1,"",COUNTA(AE7:AE31))</f>
      </c>
      <c r="AF32" s="45">
        <f>IF(AF6&lt;&gt;1,"",COUNTA(AF7:AF31))</f>
      </c>
      <c r="AG32" s="43">
        <f>SUM(AG7:AG31)</f>
      </c>
      <c r="AH32" s="43">
        <f>SUM(AH7:AH31)</f>
      </c>
      <c r="AI32" s="43">
        <f>SUM(AI7:AI31)</f>
      </c>
      <c r="AJ32" s="43">
        <f>SUM(AJ7:AJ31)</f>
      </c>
    </row>
    <row r="34" spans="1:20" x14ac:dyDescent="0.25">
      <c r="A34" s="47" t="s">
        <v>58</v>
      </c>
      <c r="B34" s="47"/>
      <c r="C34" s="47"/>
      <c r="D34" s="47"/>
      <c r="E34" s="47"/>
      <c r="F34" s="47"/>
      <c r="G34" s="47"/>
      <c r="H34" s="47"/>
      <c r="I34" s="47"/>
      <c r="J34" s="47"/>
      <c r="K34" s="47"/>
      <c r="L34" s="47"/>
      <c r="M34" s="47"/>
      <c r="N34" s="47"/>
      <c r="O34" s="47"/>
      <c r="P34" s="47"/>
      <c r="Q34" s="47"/>
      <c r="R34" s="47"/>
      <c r="S34" s="47"/>
      <c r="T34" s="47"/>
    </row>
    <row r="35" ht="28" customHeight="1" spans="1:22" x14ac:dyDescent="0.25">
      <c r="A35" s="48" t="s">
        <v>29</v>
      </c>
      <c r="B35" s="49" t="s">
        <v>59</v>
      </c>
      <c r="C35" s="49"/>
      <c r="D35" s="49"/>
      <c r="E35" s="49"/>
      <c r="F35" s="49" t="s">
        <v>60</v>
      </c>
      <c r="G35" s="49"/>
      <c r="H35" s="49"/>
      <c r="I35" s="49"/>
      <c r="J35" s="49" t="s">
        <v>61</v>
      </c>
      <c r="K35" s="49"/>
      <c r="L35" s="49"/>
      <c r="M35" s="49"/>
      <c r="N35" s="49"/>
      <c r="O35" s="49" t="s">
        <v>62</v>
      </c>
      <c r="P35" s="49"/>
      <c r="Q35" s="49"/>
      <c r="R35" s="49"/>
      <c r="S35" s="49" t="s">
        <v>34</v>
      </c>
      <c r="T35" s="49"/>
      <c r="U35" s="49"/>
      <c r="V35" s="49"/>
    </row>
    <row r="36" ht="17" customHeight="1" spans="1:22" x14ac:dyDescent="0.25">
      <c r="A36" s="50">
        <f>A7</f>
      </c>
      <c r="B36" s="22">
        <v>30</v>
      </c>
      <c r="C36" s="22"/>
      <c r="D36" s="22"/>
      <c r="E36" s="22"/>
      <c r="F36" s="22">
        <v>2</v>
      </c>
      <c r="G36" s="22"/>
      <c r="H36" s="22"/>
      <c r="I36" s="22"/>
      <c r="J36" s="22">
        <v>7</v>
      </c>
      <c r="K36" s="22"/>
      <c r="L36" s="22"/>
      <c r="M36" s="22"/>
      <c r="N36" s="22"/>
      <c r="O36" s="23">
        <f>AG7</f>
      </c>
      <c r="P36" s="23"/>
      <c r="Q36" s="23"/>
      <c r="R36" s="23"/>
      <c r="S36" s="24">
        <f>B36+F36-J36-O36</f>
      </c>
      <c r="T36" s="24"/>
      <c r="U36" s="24"/>
      <c r="V36" s="24"/>
    </row>
    <row r="37" ht="17" customHeight="1" spans="1:22" x14ac:dyDescent="0.25">
      <c r="A37" s="50">
        <f>A8</f>
      </c>
      <c r="B37" s="22">
        <v>28</v>
      </c>
      <c r="C37" s="22"/>
      <c r="D37" s="22"/>
      <c r="E37" s="22"/>
      <c r="F37" s="22">
        <v>0</v>
      </c>
      <c r="G37" s="22"/>
      <c r="H37" s="22"/>
      <c r="I37" s="22"/>
      <c r="J37" s="22">
        <v>5</v>
      </c>
      <c r="K37" s="22"/>
      <c r="L37" s="22"/>
      <c r="M37" s="22"/>
      <c r="N37" s="22"/>
      <c r="O37" s="23">
        <f>AG8</f>
      </c>
      <c r="P37" s="23"/>
      <c r="Q37" s="23"/>
      <c r="R37" s="23"/>
      <c r="S37" s="24">
        <f>B37+F37-J37-O37</f>
      </c>
      <c r="T37" s="24"/>
      <c r="U37" s="24"/>
      <c r="V37" s="24"/>
    </row>
    <row r="38" ht="17" customHeight="1" spans="1:22" x14ac:dyDescent="0.25">
      <c r="A38" s="50">
        <f>A9</f>
      </c>
      <c r="B38" s="22">
        <v>30</v>
      </c>
      <c r="C38" s="22"/>
      <c r="D38" s="22"/>
      <c r="E38" s="22"/>
      <c r="F38" s="22">
        <v>3</v>
      </c>
      <c r="G38" s="22"/>
      <c r="H38" s="22"/>
      <c r="I38" s="22"/>
      <c r="J38" s="22">
        <v>8</v>
      </c>
      <c r="K38" s="22"/>
      <c r="L38" s="22"/>
      <c r="M38" s="22"/>
      <c r="N38" s="22"/>
      <c r="O38" s="23">
        <f>AG9</f>
      </c>
      <c r="P38" s="23"/>
      <c r="Q38" s="23"/>
      <c r="R38" s="23"/>
      <c r="S38" s="24">
        <f>B38+F38-J38-O38</f>
      </c>
      <c r="T38" s="24"/>
      <c r="U38" s="24"/>
      <c r="V38" s="24"/>
    </row>
    <row r="39" ht="17" customHeight="1" spans="1:22" x14ac:dyDescent="0.25">
      <c r="A39" s="50">
        <f>A10</f>
      </c>
      <c r="B39" s="22">
        <v>30</v>
      </c>
      <c r="C39" s="22"/>
      <c r="D39" s="22"/>
      <c r="E39" s="22"/>
      <c r="F39" s="22">
        <v>1</v>
      </c>
      <c r="G39" s="22"/>
      <c r="H39" s="22"/>
      <c r="I39" s="22"/>
      <c r="J39" s="22">
        <v>3</v>
      </c>
      <c r="K39" s="22"/>
      <c r="L39" s="22"/>
      <c r="M39" s="22"/>
      <c r="N39" s="22"/>
      <c r="O39" s="23">
        <f>AG10</f>
      </c>
      <c r="P39" s="23"/>
      <c r="Q39" s="23"/>
      <c r="R39" s="23"/>
      <c r="S39" s="24">
        <f>B39+F39-J39-O39</f>
      </c>
      <c r="T39" s="24"/>
      <c r="U39" s="24"/>
      <c r="V39" s="24"/>
    </row>
    <row r="40" ht="17" customHeight="1" spans="1:22" x14ac:dyDescent="0.25">
      <c r="A40" s="50">
        <f>A11</f>
      </c>
      <c r="B40" s="22">
        <v>24</v>
      </c>
      <c r="C40" s="22"/>
      <c r="D40" s="22"/>
      <c r="E40" s="22"/>
      <c r="F40" s="22">
        <v>0</v>
      </c>
      <c r="G40" s="22"/>
      <c r="H40" s="22"/>
      <c r="I40" s="22"/>
      <c r="J40" s="22">
        <v>2</v>
      </c>
      <c r="K40" s="22"/>
      <c r="L40" s="22"/>
      <c r="M40" s="22"/>
      <c r="N40" s="22"/>
      <c r="O40" s="23">
        <f>AG11</f>
      </c>
      <c r="P40" s="23"/>
      <c r="Q40" s="23"/>
      <c r="R40" s="23"/>
      <c r="S40" s="24">
        <f>B40+F40-J40-O40</f>
      </c>
      <c r="T40" s="24"/>
      <c r="U40" s="24"/>
      <c r="V40" s="24"/>
    </row>
    <row r="41" ht="17" customHeight="1" spans="1:22" x14ac:dyDescent="0.25">
      <c r="A41" s="50">
        <f>A12</f>
      </c>
      <c r="B41" s="22">
        <v>30</v>
      </c>
      <c r="C41" s="22"/>
      <c r="D41" s="22"/>
      <c r="E41" s="22"/>
      <c r="F41" s="22">
        <v>5</v>
      </c>
      <c r="G41" s="22"/>
      <c r="H41" s="22"/>
      <c r="I41" s="22"/>
      <c r="J41" s="22">
        <v>9</v>
      </c>
      <c r="K41" s="22"/>
      <c r="L41" s="22"/>
      <c r="M41" s="22"/>
      <c r="N41" s="22"/>
      <c r="O41" s="23">
        <f>AG12</f>
      </c>
      <c r="P41" s="23"/>
      <c r="Q41" s="23"/>
      <c r="R41" s="23"/>
      <c r="S41" s="24">
        <f>B41+F41-J41-O41</f>
      </c>
      <c r="T41" s="24"/>
      <c r="U41" s="24"/>
      <c r="V41" s="24"/>
    </row>
  </sheetData>
  <mergeCells count="48">
    <mergeCell ref="A1:AJ1"/>
    <mergeCell ref="A2:AJ2"/>
    <mergeCell ref="B3:F3"/>
    <mergeCell ref="H3:L3"/>
    <mergeCell ref="N3:R3"/>
    <mergeCell ref="T3:X3"/>
    <mergeCell ref="Z3:AD3"/>
    <mergeCell ref="AF3:AJ3"/>
    <mergeCell ref="AG4:AG6"/>
    <mergeCell ref="AH4:AH6"/>
    <mergeCell ref="AI4:AI6"/>
    <mergeCell ref="AJ4:AJ6"/>
    <mergeCell ref="A34:T34"/>
    <mergeCell ref="B35:E35"/>
    <mergeCell ref="F35:I35"/>
    <mergeCell ref="J35:N35"/>
    <mergeCell ref="O35:R35"/>
    <mergeCell ref="S35:V35"/>
    <mergeCell ref="B36:E36"/>
    <mergeCell ref="F36:I36"/>
    <mergeCell ref="J36:N36"/>
    <mergeCell ref="O36:R36"/>
    <mergeCell ref="S36:V36"/>
    <mergeCell ref="B37:E37"/>
    <mergeCell ref="F37:I37"/>
    <mergeCell ref="J37:N37"/>
    <mergeCell ref="O37:R37"/>
    <mergeCell ref="S37:V37"/>
    <mergeCell ref="B38:E38"/>
    <mergeCell ref="F38:I38"/>
    <mergeCell ref="J38:N38"/>
    <mergeCell ref="O38:R38"/>
    <mergeCell ref="S38:V38"/>
    <mergeCell ref="B39:E39"/>
    <mergeCell ref="F39:I39"/>
    <mergeCell ref="J39:N39"/>
    <mergeCell ref="O39:R39"/>
    <mergeCell ref="S39:V39"/>
    <mergeCell ref="B40:E40"/>
    <mergeCell ref="F40:I40"/>
    <mergeCell ref="J40:N40"/>
    <mergeCell ref="O40:R40"/>
    <mergeCell ref="S40:V40"/>
    <mergeCell ref="B41:E41"/>
    <mergeCell ref="F41:I41"/>
    <mergeCell ref="J41:N41"/>
    <mergeCell ref="O41:R41"/>
    <mergeCell ref="S41:V41"/>
  </mergeCells>
  <conditionalFormatting sqref="B4:AF32">
    <cfRule type="expression" dxfId="86" priority="1">
      <formula>B$4=""</formula>
    </cfRule>
    <cfRule type="expression" dxfId="87" priority="2">
      <formula>B$6&lt;&gt;1</formula>
    </cfRule>
  </conditionalFormatting>
  <conditionalFormatting sqref="B7:AF31">
    <cfRule type="expression" dxfId="88" priority="3">
      <formula>B7="U"</formula>
    </cfRule>
    <cfRule type="expression" dxfId="89" priority="4">
      <formula>B7="H"</formula>
    </cfRule>
    <cfRule type="expression" dxfId="90" priority="5">
      <formula>B7="K"</formula>
    </cfRule>
    <cfRule type="expression" dxfId="91" priority="6">
      <formula>B7="S"</formula>
    </cfRule>
    <cfRule type="expression" dxfId="92" priority="7">
      <formula>B7="ZA"</formula>
    </cfRule>
  </conditionalFormatting>
  <dataValidations count="1">
    <dataValidation type="list" allowBlank="1" sqref="B7:AF31">
      <formula1>"U,H,K,S,ZA"</formula1>
    </dataValidation>
  </dataValidations>
  <printOptions horizontalCentered="1"/>
  <pageMargins left="0.5" right="0.5" top="0.6" bottom="0.7" header="0.3" footer="0.3"/>
  <pageSetup paperSize="9" orientation="landscape" fitToWidth="1" fitToHeight="1"/>
  <headerFooter>
    <oddFooter>&amp;L&amp;8Kostenlose Vorlage von teamspace · www.teamspace.de/vorlagen/ · Stand Oktober 2026&amp;R&amp;8Seite &amp;P von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B5563"/>
    <pageSetUpPr fitToPage="1"/>
  </sheetPr>
  <dimension ref="A1:J200"/>
  <sheetViews>
    <sheetView workbookViewId="0" showGridLines="0"/>
  </sheetViews>
  <sheetFormatPr defaultRowHeight="18" outlineLevelRow="0" outlineLevelCol="0" x14ac:dyDescent="55" customHeight="1"/>
  <cols>
    <col min="1" max="1" width="12" customWidth="1"/>
    <col min="2" max="2" width="28" customWidth="1"/>
    <col min="3" max="3" width="30" customWidth="1"/>
    <col min="4" max="4" width="3" customWidth="1"/>
    <col min="5" max="5" width="26" customWidth="1"/>
    <col min="6" max="6" width="8" customWidth="1"/>
    <col min="7" max="7" width="3" customWidth="1"/>
    <col min="8" max="10" width="14" customWidth="1"/>
  </cols>
  <sheetData>
    <row r="1" ht="30" customHeight="1" spans="1:10" x14ac:dyDescent="0.25">
      <c r="A1" s="5" t="s">
        <v>22</v>
      </c>
      <c r="B1" s="5" t="s">
        <v>24</v>
      </c>
      <c r="C1" s="5" t="s">
        <v>63</v>
      </c>
      <c r="E1" s="5" t="s">
        <v>9</v>
      </c>
      <c r="F1" s="5" t="s">
        <v>4</v>
      </c>
      <c r="H1" s="5" t="s">
        <v>64</v>
      </c>
      <c r="I1" s="5" t="s">
        <v>65</v>
      </c>
      <c r="J1" s="5" t="s">
        <v>66</v>
      </c>
    </row>
    <row r="2" spans="1:10" x14ac:dyDescent="0.25">
      <c r="A2" s="51">
        <v>46023</v>
      </c>
      <c r="B2" s="9" t="s">
        <v>67</v>
      </c>
      <c r="C2" s="9" t="s">
        <v>68</v>
      </c>
      <c r="E2" s="9" t="s">
        <v>69</v>
      </c>
      <c r="F2" s="9" t="s">
        <v>70</v>
      </c>
      <c r="H2" s="52">
        <f>IF($A2="","",IF(OR($C2="alle",ISNUMBER(SEARCH(" "&amp;IFERROR(VLOOKUP(Einstellungen!$B$6,$E$2:$F$17,2,FALSE),"--")&amp;" "," "&amp;$C2&amp;" "))),$A2,""))</f>
      </c>
      <c r="I2" s="52">
        <f>IF($A2="","",IF(OR($C2="alle",ISNUMBER(SEARCH(" "&amp;"HE"&amp;" "," "&amp;$C2&amp;" "))),$A2,""))</f>
      </c>
      <c r="J2" s="52">
        <f>IF(ISNUMBER(H2),IF(YEAR(H2)=Einstellungen!$B$5,H2,""),"")</f>
      </c>
    </row>
    <row r="3" spans="1:10" x14ac:dyDescent="0.25">
      <c r="A3" s="51">
        <v>46028</v>
      </c>
      <c r="B3" s="9" t="s">
        <v>71</v>
      </c>
      <c r="C3" s="9" t="s">
        <v>72</v>
      </c>
      <c r="E3" s="9" t="s">
        <v>73</v>
      </c>
      <c r="F3" s="9" t="s">
        <v>74</v>
      </c>
      <c r="H3" s="52">
        <f>IF($A3="","",IF(OR($C3="alle",ISNUMBER(SEARCH(" "&amp;IFERROR(VLOOKUP(Einstellungen!$B$6,$E$2:$F$17,2,FALSE),"--")&amp;" "," "&amp;$C3&amp;" "))),$A3,""))</f>
      </c>
      <c r="I3" s="52">
        <f>IF($A3="","",IF(OR($C3="alle",ISNUMBER(SEARCH(" "&amp;"HE"&amp;" "," "&amp;$C3&amp;" "))),$A3,""))</f>
      </c>
      <c r="J3" s="52">
        <f>IF(ISNUMBER(H3),IF(YEAR(H3)=Einstellungen!$B$5,H3,""),"")</f>
      </c>
    </row>
    <row r="4" spans="1:10" x14ac:dyDescent="0.25">
      <c r="A4" s="51">
        <v>46089</v>
      </c>
      <c r="B4" s="9" t="s">
        <v>75</v>
      </c>
      <c r="C4" s="9" t="s">
        <v>76</v>
      </c>
      <c r="E4" s="9" t="s">
        <v>77</v>
      </c>
      <c r="F4" s="9" t="s">
        <v>78</v>
      </c>
      <c r="H4" s="52">
        <f>IF($A4="","",IF(OR($C4="alle",ISNUMBER(SEARCH(" "&amp;IFERROR(VLOOKUP(Einstellungen!$B$6,$E$2:$F$17,2,FALSE),"--")&amp;" "," "&amp;$C4&amp;" "))),$A4,""))</f>
      </c>
      <c r="I4" s="52">
        <f>IF($A4="","",IF(OR($C4="alle",ISNUMBER(SEARCH(" "&amp;"HE"&amp;" "," "&amp;$C4&amp;" "))),$A4,""))</f>
      </c>
      <c r="J4" s="52">
        <f>IF(ISNUMBER(H4),IF(YEAR(H4)=Einstellungen!$B$5,H4,""),"")</f>
      </c>
    </row>
    <row r="5" spans="1:10" x14ac:dyDescent="0.25">
      <c r="A5" s="51">
        <v>46115</v>
      </c>
      <c r="B5" s="9" t="s">
        <v>79</v>
      </c>
      <c r="C5" s="9" t="s">
        <v>68</v>
      </c>
      <c r="E5" s="9" t="s">
        <v>80</v>
      </c>
      <c r="F5" s="9" t="s">
        <v>81</v>
      </c>
      <c r="H5" s="52">
        <f>IF($A5="","",IF(OR($C5="alle",ISNUMBER(SEARCH(" "&amp;IFERROR(VLOOKUP(Einstellungen!$B$6,$E$2:$F$17,2,FALSE),"--")&amp;" "," "&amp;$C5&amp;" "))),$A5,""))</f>
      </c>
      <c r="I5" s="52">
        <f>IF($A5="","",IF(OR($C5="alle",ISNUMBER(SEARCH(" "&amp;"HE"&amp;" "," "&amp;$C5&amp;" "))),$A5,""))</f>
      </c>
      <c r="J5" s="52">
        <f>IF(ISNUMBER(H5),IF(YEAR(H5)=Einstellungen!$B$5,H5,""),"")</f>
      </c>
    </row>
    <row r="6" spans="1:10" x14ac:dyDescent="0.25">
      <c r="A6" s="51">
        <v>46118</v>
      </c>
      <c r="B6" s="9" t="s">
        <v>82</v>
      </c>
      <c r="C6" s="9" t="s">
        <v>68</v>
      </c>
      <c r="E6" s="9" t="s">
        <v>83</v>
      </c>
      <c r="F6" s="9" t="s">
        <v>84</v>
      </c>
      <c r="H6" s="52">
        <f>IF($A6="","",IF(OR($C6="alle",ISNUMBER(SEARCH(" "&amp;IFERROR(VLOOKUP(Einstellungen!$B$6,$E$2:$F$17,2,FALSE),"--")&amp;" "," "&amp;$C6&amp;" "))),$A6,""))</f>
      </c>
      <c r="I6" s="52">
        <f>IF($A6="","",IF(OR($C6="alle",ISNUMBER(SEARCH(" "&amp;"HE"&amp;" "," "&amp;$C6&amp;" "))),$A6,""))</f>
      </c>
      <c r="J6" s="52">
        <f>IF(ISNUMBER(H6),IF(YEAR(H6)=Einstellungen!$B$5,H6,""),"")</f>
      </c>
    </row>
    <row r="7" spans="1:10" x14ac:dyDescent="0.25">
      <c r="A7" s="51">
        <v>46143</v>
      </c>
      <c r="B7" s="9" t="s">
        <v>85</v>
      </c>
      <c r="C7" s="9" t="s">
        <v>68</v>
      </c>
      <c r="E7" s="9" t="s">
        <v>86</v>
      </c>
      <c r="F7" s="9" t="s">
        <v>87</v>
      </c>
      <c r="H7" s="52">
        <f>IF($A7="","",IF(OR($C7="alle",ISNUMBER(SEARCH(" "&amp;IFERROR(VLOOKUP(Einstellungen!$B$6,$E$2:$F$17,2,FALSE),"--")&amp;" "," "&amp;$C7&amp;" "))),$A7,""))</f>
      </c>
      <c r="I7" s="52">
        <f>IF($A7="","",IF(OR($C7="alle",ISNUMBER(SEARCH(" "&amp;"HE"&amp;" "," "&amp;$C7&amp;" "))),$A7,""))</f>
      </c>
      <c r="J7" s="52">
        <f>IF(ISNUMBER(H7),IF(YEAR(H7)=Einstellungen!$B$5,H7,""),"")</f>
      </c>
    </row>
    <row r="8" spans="1:10" x14ac:dyDescent="0.25">
      <c r="A8" s="51">
        <v>46156</v>
      </c>
      <c r="B8" s="9" t="s">
        <v>88</v>
      </c>
      <c r="C8" s="9" t="s">
        <v>68</v>
      </c>
      <c r="E8" s="9" t="s">
        <v>10</v>
      </c>
      <c r="F8" s="9" t="s">
        <v>89</v>
      </c>
      <c r="H8" s="52">
        <f>IF($A8="","",IF(OR($C8="alle",ISNUMBER(SEARCH(" "&amp;IFERROR(VLOOKUP(Einstellungen!$B$6,$E$2:$F$17,2,FALSE),"--")&amp;" "," "&amp;$C8&amp;" "))),$A8,""))</f>
      </c>
      <c r="I8" s="52">
        <f>IF($A8="","",IF(OR($C8="alle",ISNUMBER(SEARCH(" "&amp;"HE"&amp;" "," "&amp;$C8&amp;" "))),$A8,""))</f>
      </c>
      <c r="J8" s="52">
        <f>IF(ISNUMBER(H8),IF(YEAR(H8)=Einstellungen!$B$5,H8,""),"")</f>
      </c>
    </row>
    <row r="9" spans="1:10" x14ac:dyDescent="0.25">
      <c r="A9" s="51">
        <v>46167</v>
      </c>
      <c r="B9" s="9" t="s">
        <v>90</v>
      </c>
      <c r="C9" s="9" t="s">
        <v>68</v>
      </c>
      <c r="E9" s="9" t="s">
        <v>91</v>
      </c>
      <c r="F9" s="9" t="s">
        <v>92</v>
      </c>
      <c r="H9" s="52">
        <f>IF($A9="","",IF(OR($C9="alle",ISNUMBER(SEARCH(" "&amp;IFERROR(VLOOKUP(Einstellungen!$B$6,$E$2:$F$17,2,FALSE),"--")&amp;" "," "&amp;$C9&amp;" "))),$A9,""))</f>
      </c>
      <c r="I9" s="52">
        <f>IF($A9="","",IF(OR($C9="alle",ISNUMBER(SEARCH(" "&amp;"HE"&amp;" "," "&amp;$C9&amp;" "))),$A9,""))</f>
      </c>
      <c r="J9" s="52">
        <f>IF(ISNUMBER(H9),IF(YEAR(H9)=Einstellungen!$B$5,H9,""),"")</f>
      </c>
    </row>
    <row r="10" spans="1:10" x14ac:dyDescent="0.25">
      <c r="A10" s="51">
        <v>46177</v>
      </c>
      <c r="B10" s="9" t="s">
        <v>93</v>
      </c>
      <c r="C10" s="9" t="s">
        <v>94</v>
      </c>
      <c r="E10" s="9" t="s">
        <v>95</v>
      </c>
      <c r="F10" s="9" t="s">
        <v>96</v>
      </c>
      <c r="H10" s="52">
        <f>IF($A10="","",IF(OR($C10="alle",ISNUMBER(SEARCH(" "&amp;IFERROR(VLOOKUP(Einstellungen!$B$6,$E$2:$F$17,2,FALSE),"--")&amp;" "," "&amp;$C10&amp;" "))),$A10,""))</f>
      </c>
      <c r="I10" s="52">
        <f>IF($A10="","",IF(OR($C10="alle",ISNUMBER(SEARCH(" "&amp;"HE"&amp;" "," "&amp;$C10&amp;" "))),$A10,""))</f>
      </c>
      <c r="J10" s="52">
        <f>IF(ISNUMBER(H10),IF(YEAR(H10)=Einstellungen!$B$5,H10,""),"")</f>
      </c>
    </row>
    <row r="11" spans="1:10" x14ac:dyDescent="0.25">
      <c r="A11" s="51">
        <v>46249</v>
      </c>
      <c r="B11" s="9" t="s">
        <v>97</v>
      </c>
      <c r="C11" s="9" t="s">
        <v>98</v>
      </c>
      <c r="E11" s="9" t="s">
        <v>99</v>
      </c>
      <c r="F11" s="9" t="s">
        <v>100</v>
      </c>
      <c r="H11" s="52">
        <f>IF($A11="","",IF(OR($C11="alle",ISNUMBER(SEARCH(" "&amp;IFERROR(VLOOKUP(Einstellungen!$B$6,$E$2:$F$17,2,FALSE),"--")&amp;" "," "&amp;$C11&amp;" "))),$A11,""))</f>
      </c>
      <c r="I11" s="52">
        <f>IF($A11="","",IF(OR($C11="alle",ISNUMBER(SEARCH(" "&amp;"HE"&amp;" "," "&amp;$C11&amp;" "))),$A11,""))</f>
      </c>
      <c r="J11" s="52">
        <f>IF(ISNUMBER(H11),IF(YEAR(H11)=Einstellungen!$B$5,H11,""),"")</f>
      </c>
    </row>
    <row r="12" spans="1:10" x14ac:dyDescent="0.25">
      <c r="A12" s="51">
        <v>46285</v>
      </c>
      <c r="B12" s="9" t="s">
        <v>101</v>
      </c>
      <c r="C12" s="9" t="s">
        <v>102</v>
      </c>
      <c r="E12" s="9" t="s">
        <v>103</v>
      </c>
      <c r="F12" s="9" t="s">
        <v>104</v>
      </c>
      <c r="H12" s="52">
        <f>IF($A12="","",IF(OR($C12="alle",ISNUMBER(SEARCH(" "&amp;IFERROR(VLOOKUP(Einstellungen!$B$6,$E$2:$F$17,2,FALSE),"--")&amp;" "," "&amp;$C12&amp;" "))),$A12,""))</f>
      </c>
      <c r="I12" s="52">
        <f>IF($A12="","",IF(OR($C12="alle",ISNUMBER(SEARCH(" "&amp;"HE"&amp;" "," "&amp;$C12&amp;" "))),$A12,""))</f>
      </c>
      <c r="J12" s="52">
        <f>IF(ISNUMBER(H12),IF(YEAR(H12)=Einstellungen!$B$5,H12,""),"")</f>
      </c>
    </row>
    <row r="13" spans="1:10" x14ac:dyDescent="0.25">
      <c r="A13" s="51">
        <v>46298</v>
      </c>
      <c r="B13" s="9" t="s">
        <v>105</v>
      </c>
      <c r="C13" s="9" t="s">
        <v>68</v>
      </c>
      <c r="E13" s="9" t="s">
        <v>106</v>
      </c>
      <c r="F13" s="9" t="s">
        <v>98</v>
      </c>
      <c r="H13" s="52">
        <f>IF($A13="","",IF(OR($C13="alle",ISNUMBER(SEARCH(" "&amp;IFERROR(VLOOKUP(Einstellungen!$B$6,$E$2:$F$17,2,FALSE),"--")&amp;" "," "&amp;$C13&amp;" "))),$A13,""))</f>
      </c>
      <c r="I13" s="52">
        <f>IF($A13="","",IF(OR($C13="alle",ISNUMBER(SEARCH(" "&amp;"HE"&amp;" "," "&amp;$C13&amp;" "))),$A13,""))</f>
      </c>
      <c r="J13" s="52">
        <f>IF(ISNUMBER(H13),IF(YEAR(H13)=Einstellungen!$B$5,H13,""),"")</f>
      </c>
    </row>
    <row r="14" spans="1:10" x14ac:dyDescent="0.25">
      <c r="A14" s="51">
        <v>46326</v>
      </c>
      <c r="B14" s="9" t="s">
        <v>107</v>
      </c>
      <c r="C14" s="9" t="s">
        <v>108</v>
      </c>
      <c r="E14" s="9" t="s">
        <v>109</v>
      </c>
      <c r="F14" s="9" t="s">
        <v>110</v>
      </c>
      <c r="H14" s="52">
        <f>IF($A14="","",IF(OR($C14="alle",ISNUMBER(SEARCH(" "&amp;IFERROR(VLOOKUP(Einstellungen!$B$6,$E$2:$F$17,2,FALSE),"--")&amp;" "," "&amp;$C14&amp;" "))),$A14,""))</f>
      </c>
      <c r="I14" s="52">
        <f>IF($A14="","",IF(OR($C14="alle",ISNUMBER(SEARCH(" "&amp;"HE"&amp;" "," "&amp;$C14&amp;" "))),$A14,""))</f>
      </c>
      <c r="J14" s="52">
        <f>IF(ISNUMBER(H14),IF(YEAR(H14)=Einstellungen!$B$5,H14,""),"")</f>
      </c>
    </row>
    <row r="15" spans="1:10" x14ac:dyDescent="0.25">
      <c r="A15" s="51">
        <v>46327</v>
      </c>
      <c r="B15" s="9" t="s">
        <v>111</v>
      </c>
      <c r="C15" s="9" t="s">
        <v>112</v>
      </c>
      <c r="E15" s="9" t="s">
        <v>113</v>
      </c>
      <c r="F15" s="9" t="s">
        <v>114</v>
      </c>
      <c r="H15" s="52">
        <f>IF($A15="","",IF(OR($C15="alle",ISNUMBER(SEARCH(" "&amp;IFERROR(VLOOKUP(Einstellungen!$B$6,$E$2:$F$17,2,FALSE),"--")&amp;" "," "&amp;$C15&amp;" "))),$A15,""))</f>
      </c>
      <c r="I15" s="52">
        <f>IF($A15="","",IF(OR($C15="alle",ISNUMBER(SEARCH(" "&amp;"HE"&amp;" "," "&amp;$C15&amp;" "))),$A15,""))</f>
      </c>
      <c r="J15" s="52">
        <f>IF(ISNUMBER(H15),IF(YEAR(H15)=Einstellungen!$B$5,H15,""),"")</f>
      </c>
    </row>
    <row r="16" spans="1:10" x14ac:dyDescent="0.25">
      <c r="A16" s="51">
        <v>46344</v>
      </c>
      <c r="B16" s="9" t="s">
        <v>115</v>
      </c>
      <c r="C16" s="9" t="s">
        <v>110</v>
      </c>
      <c r="E16" s="9" t="s">
        <v>116</v>
      </c>
      <c r="F16" s="9" t="s">
        <v>117</v>
      </c>
      <c r="H16" s="52">
        <f>IF($A16="","",IF(OR($C16="alle",ISNUMBER(SEARCH(" "&amp;IFERROR(VLOOKUP(Einstellungen!$B$6,$E$2:$F$17,2,FALSE),"--")&amp;" "," "&amp;$C16&amp;" "))),$A16,""))</f>
      </c>
      <c r="I16" s="52">
        <f>IF($A16="","",IF(OR($C16="alle",ISNUMBER(SEARCH(" "&amp;"HE"&amp;" "," "&amp;$C16&amp;" "))),$A16,""))</f>
      </c>
      <c r="J16" s="52">
        <f>IF(ISNUMBER(H16),IF(YEAR(H16)=Einstellungen!$B$5,H16,""),"")</f>
      </c>
    </row>
    <row r="17" spans="1:10" x14ac:dyDescent="0.25">
      <c r="A17" s="51">
        <v>46381</v>
      </c>
      <c r="B17" s="9" t="s">
        <v>118</v>
      </c>
      <c r="C17" s="9" t="s">
        <v>68</v>
      </c>
      <c r="E17" s="9" t="s">
        <v>119</v>
      </c>
      <c r="F17" s="9" t="s">
        <v>102</v>
      </c>
      <c r="H17" s="52">
        <f>IF($A17="","",IF(OR($C17="alle",ISNUMBER(SEARCH(" "&amp;IFERROR(VLOOKUP(Einstellungen!$B$6,$E$2:$F$17,2,FALSE),"--")&amp;" "," "&amp;$C17&amp;" "))),$A17,""))</f>
      </c>
      <c r="I17" s="52">
        <f>IF($A17="","",IF(OR($C17="alle",ISNUMBER(SEARCH(" "&amp;"HE"&amp;" "," "&amp;$C17&amp;" "))),$A17,""))</f>
      </c>
      <c r="J17" s="52">
        <f>IF(ISNUMBER(H17),IF(YEAR(H17)=Einstellungen!$B$5,H17,""),"")</f>
      </c>
    </row>
    <row r="18" spans="1:10" x14ac:dyDescent="0.25">
      <c r="A18" s="51">
        <v>46382</v>
      </c>
      <c r="B18" s="9" t="s">
        <v>120</v>
      </c>
      <c r="C18" s="9" t="s">
        <v>68</v>
      </c>
      <c r="H18" s="52">
        <f>IF($A18="","",IF(OR($C18="alle",ISNUMBER(SEARCH(" "&amp;IFERROR(VLOOKUP(Einstellungen!$B$6,$E$2:$F$17,2,FALSE),"--")&amp;" "," "&amp;$C18&amp;" "))),$A18,""))</f>
      </c>
      <c r="I18" s="52">
        <f>IF($A18="","",IF(OR($C18="alle",ISNUMBER(SEARCH(" "&amp;"HE"&amp;" "," "&amp;$C18&amp;" "))),$A18,""))</f>
      </c>
      <c r="J18" s="52">
        <f>IF(ISNUMBER(H18),IF(YEAR(H18)=Einstellungen!$B$5,H18,""),"")</f>
      </c>
    </row>
    <row r="19" spans="1:10" x14ac:dyDescent="0.25">
      <c r="A19" s="51">
        <v>46388</v>
      </c>
      <c r="B19" s="9" t="s">
        <v>67</v>
      </c>
      <c r="C19" s="9" t="s">
        <v>68</v>
      </c>
      <c r="H19" s="52">
        <f>IF($A19="","",IF(OR($C19="alle",ISNUMBER(SEARCH(" "&amp;IFERROR(VLOOKUP(Einstellungen!$B$6,$E$2:$F$17,2,FALSE),"--")&amp;" "," "&amp;$C19&amp;" "))),$A19,""))</f>
      </c>
      <c r="I19" s="52">
        <f>IF($A19="","",IF(OR($C19="alle",ISNUMBER(SEARCH(" "&amp;"HE"&amp;" "," "&amp;$C19&amp;" "))),$A19,""))</f>
      </c>
      <c r="J19" s="52">
        <f>IF(ISNUMBER(H19),IF(YEAR(H19)=Einstellungen!$B$5,H19,""),"")</f>
      </c>
    </row>
    <row r="20" spans="1:10" x14ac:dyDescent="0.25">
      <c r="A20" s="51">
        <v>46393</v>
      </c>
      <c r="B20" s="9" t="s">
        <v>71</v>
      </c>
      <c r="C20" s="9" t="s">
        <v>72</v>
      </c>
      <c r="H20" s="52">
        <f>IF($A20="","",IF(OR($C20="alle",ISNUMBER(SEARCH(" "&amp;IFERROR(VLOOKUP(Einstellungen!$B$6,$E$2:$F$17,2,FALSE),"--")&amp;" "," "&amp;$C20&amp;" "))),$A20,""))</f>
      </c>
      <c r="I20" s="52">
        <f>IF($A20="","",IF(OR($C20="alle",ISNUMBER(SEARCH(" "&amp;"HE"&amp;" "," "&amp;$C20&amp;" "))),$A20,""))</f>
      </c>
      <c r="J20" s="52">
        <f>IF(ISNUMBER(H20),IF(YEAR(H20)=Einstellungen!$B$5,H20,""),"")</f>
      </c>
    </row>
    <row r="21" spans="1:10" x14ac:dyDescent="0.25">
      <c r="A21" s="51">
        <v>46454</v>
      </c>
      <c r="B21" s="9" t="s">
        <v>75</v>
      </c>
      <c r="C21" s="9" t="s">
        <v>76</v>
      </c>
      <c r="H21" s="52">
        <f>IF($A21="","",IF(OR($C21="alle",ISNUMBER(SEARCH(" "&amp;IFERROR(VLOOKUP(Einstellungen!$B$6,$E$2:$F$17,2,FALSE),"--")&amp;" "," "&amp;$C21&amp;" "))),$A21,""))</f>
      </c>
      <c r="I21" s="52">
        <f>IF($A21="","",IF(OR($C21="alle",ISNUMBER(SEARCH(" "&amp;"HE"&amp;" "," "&amp;$C21&amp;" "))),$A21,""))</f>
      </c>
      <c r="J21" s="52">
        <f>IF(ISNUMBER(H21),IF(YEAR(H21)=Einstellungen!$B$5,H21,""),"")</f>
      </c>
    </row>
    <row r="22" spans="1:10" x14ac:dyDescent="0.25">
      <c r="A22" s="51">
        <v>46472</v>
      </c>
      <c r="B22" s="9" t="s">
        <v>79</v>
      </c>
      <c r="C22" s="9" t="s">
        <v>68</v>
      </c>
      <c r="H22" s="52">
        <f>IF($A22="","",IF(OR($C22="alle",ISNUMBER(SEARCH(" "&amp;IFERROR(VLOOKUP(Einstellungen!$B$6,$E$2:$F$17,2,FALSE),"--")&amp;" "," "&amp;$C22&amp;" "))),$A22,""))</f>
      </c>
      <c r="I22" s="52">
        <f>IF($A22="","",IF(OR($C22="alle",ISNUMBER(SEARCH(" "&amp;"HE"&amp;" "," "&amp;$C22&amp;" "))),$A22,""))</f>
      </c>
      <c r="J22" s="52">
        <f>IF(ISNUMBER(H22),IF(YEAR(H22)=Einstellungen!$B$5,H22,""),"")</f>
      </c>
    </row>
    <row r="23" spans="1:10" x14ac:dyDescent="0.25">
      <c r="A23" s="51">
        <v>46475</v>
      </c>
      <c r="B23" s="9" t="s">
        <v>82</v>
      </c>
      <c r="C23" s="9" t="s">
        <v>68</v>
      </c>
      <c r="H23" s="52">
        <f>IF($A23="","",IF(OR($C23="alle",ISNUMBER(SEARCH(" "&amp;IFERROR(VLOOKUP(Einstellungen!$B$6,$E$2:$F$17,2,FALSE),"--")&amp;" "," "&amp;$C23&amp;" "))),$A23,""))</f>
      </c>
      <c r="I23" s="52">
        <f>IF($A23="","",IF(OR($C23="alle",ISNUMBER(SEARCH(" "&amp;"HE"&amp;" "," "&amp;$C23&amp;" "))),$A23,""))</f>
      </c>
      <c r="J23" s="52">
        <f>IF(ISNUMBER(H23),IF(YEAR(H23)=Einstellungen!$B$5,H23,""),"")</f>
      </c>
    </row>
    <row r="24" spans="1:10" x14ac:dyDescent="0.25">
      <c r="A24" s="51">
        <v>46508</v>
      </c>
      <c r="B24" s="9" t="s">
        <v>85</v>
      </c>
      <c r="C24" s="9" t="s">
        <v>68</v>
      </c>
      <c r="H24" s="52">
        <f>IF($A24="","",IF(OR($C24="alle",ISNUMBER(SEARCH(" "&amp;IFERROR(VLOOKUP(Einstellungen!$B$6,$E$2:$F$17,2,FALSE),"--")&amp;" "," "&amp;$C24&amp;" "))),$A24,""))</f>
      </c>
      <c r="I24" s="52">
        <f>IF($A24="","",IF(OR($C24="alle",ISNUMBER(SEARCH(" "&amp;"HE"&amp;" "," "&amp;$C24&amp;" "))),$A24,""))</f>
      </c>
      <c r="J24" s="52">
        <f>IF(ISNUMBER(H24),IF(YEAR(H24)=Einstellungen!$B$5,H24,""),"")</f>
      </c>
    </row>
    <row r="25" spans="1:10" x14ac:dyDescent="0.25">
      <c r="A25" s="51">
        <v>46513</v>
      </c>
      <c r="B25" s="9" t="s">
        <v>88</v>
      </c>
      <c r="C25" s="9" t="s">
        <v>68</v>
      </c>
      <c r="H25" s="52">
        <f>IF($A25="","",IF(OR($C25="alle",ISNUMBER(SEARCH(" "&amp;IFERROR(VLOOKUP(Einstellungen!$B$6,$E$2:$F$17,2,FALSE),"--")&amp;" "," "&amp;$C25&amp;" "))),$A25,""))</f>
      </c>
      <c r="I25" s="52">
        <f>IF($A25="","",IF(OR($C25="alle",ISNUMBER(SEARCH(" "&amp;"HE"&amp;" "," "&amp;$C25&amp;" "))),$A25,""))</f>
      </c>
      <c r="J25" s="52">
        <f>IF(ISNUMBER(H25),IF(YEAR(H25)=Einstellungen!$B$5,H25,""),"")</f>
      </c>
    </row>
    <row r="26" spans="1:10" x14ac:dyDescent="0.25">
      <c r="A26" s="51">
        <v>46524</v>
      </c>
      <c r="B26" s="9" t="s">
        <v>90</v>
      </c>
      <c r="C26" s="9" t="s">
        <v>68</v>
      </c>
      <c r="H26" s="52">
        <f>IF($A26="","",IF(OR($C26="alle",ISNUMBER(SEARCH(" "&amp;IFERROR(VLOOKUP(Einstellungen!$B$6,$E$2:$F$17,2,FALSE),"--")&amp;" "," "&amp;$C26&amp;" "))),$A26,""))</f>
      </c>
      <c r="I26" s="52">
        <f>IF($A26="","",IF(OR($C26="alle",ISNUMBER(SEARCH(" "&amp;"HE"&amp;" "," "&amp;$C26&amp;" "))),$A26,""))</f>
      </c>
      <c r="J26" s="52">
        <f>IF(ISNUMBER(H26),IF(YEAR(H26)=Einstellungen!$B$5,H26,""),"")</f>
      </c>
    </row>
    <row r="27" spans="1:10" x14ac:dyDescent="0.25">
      <c r="A27" s="51">
        <v>46534</v>
      </c>
      <c r="B27" s="9" t="s">
        <v>93</v>
      </c>
      <c r="C27" s="9" t="s">
        <v>94</v>
      </c>
      <c r="H27" s="52">
        <f>IF($A27="","",IF(OR($C27="alle",ISNUMBER(SEARCH(" "&amp;IFERROR(VLOOKUP(Einstellungen!$B$6,$E$2:$F$17,2,FALSE),"--")&amp;" "," "&amp;$C27&amp;" "))),$A27,""))</f>
      </c>
      <c r="I27" s="52">
        <f>IF($A27="","",IF(OR($C27="alle",ISNUMBER(SEARCH(" "&amp;"HE"&amp;" "," "&amp;$C27&amp;" "))),$A27,""))</f>
      </c>
      <c r="J27" s="52">
        <f>IF(ISNUMBER(H27),IF(YEAR(H27)=Einstellungen!$B$5,H27,""),"")</f>
      </c>
    </row>
    <row r="28" spans="1:10" x14ac:dyDescent="0.25">
      <c r="A28" s="51">
        <v>46614</v>
      </c>
      <c r="B28" s="9" t="s">
        <v>97</v>
      </c>
      <c r="C28" s="9" t="s">
        <v>98</v>
      </c>
      <c r="H28" s="52">
        <f>IF($A28="","",IF(OR($C28="alle",ISNUMBER(SEARCH(" "&amp;IFERROR(VLOOKUP(Einstellungen!$B$6,$E$2:$F$17,2,FALSE),"--")&amp;" "," "&amp;$C28&amp;" "))),$A28,""))</f>
      </c>
      <c r="I28" s="52">
        <f>IF($A28="","",IF(OR($C28="alle",ISNUMBER(SEARCH(" "&amp;"HE"&amp;" "," "&amp;$C28&amp;" "))),$A28,""))</f>
      </c>
      <c r="J28" s="52">
        <f>IF(ISNUMBER(H28),IF(YEAR(H28)=Einstellungen!$B$5,H28,""),"")</f>
      </c>
    </row>
    <row r="29" spans="1:10" x14ac:dyDescent="0.25">
      <c r="A29" s="51">
        <v>46650</v>
      </c>
      <c r="B29" s="9" t="s">
        <v>101</v>
      </c>
      <c r="C29" s="9" t="s">
        <v>102</v>
      </c>
      <c r="H29" s="52">
        <f>IF($A29="","",IF(OR($C29="alle",ISNUMBER(SEARCH(" "&amp;IFERROR(VLOOKUP(Einstellungen!$B$6,$E$2:$F$17,2,FALSE),"--")&amp;" "," "&amp;$C29&amp;" "))),$A29,""))</f>
      </c>
      <c r="I29" s="52">
        <f>IF($A29="","",IF(OR($C29="alle",ISNUMBER(SEARCH(" "&amp;"HE"&amp;" "," "&amp;$C29&amp;" "))),$A29,""))</f>
      </c>
      <c r="J29" s="52">
        <f>IF(ISNUMBER(H29),IF(YEAR(H29)=Einstellungen!$B$5,H29,""),"")</f>
      </c>
    </row>
    <row r="30" spans="1:10" x14ac:dyDescent="0.25">
      <c r="A30" s="51">
        <v>46663</v>
      </c>
      <c r="B30" s="9" t="s">
        <v>105</v>
      </c>
      <c r="C30" s="9" t="s">
        <v>68</v>
      </c>
      <c r="H30" s="52">
        <f>IF($A30="","",IF(OR($C30="alle",ISNUMBER(SEARCH(" "&amp;IFERROR(VLOOKUP(Einstellungen!$B$6,$E$2:$F$17,2,FALSE),"--")&amp;" "," "&amp;$C30&amp;" "))),$A30,""))</f>
      </c>
      <c r="I30" s="52">
        <f>IF($A30="","",IF(OR($C30="alle",ISNUMBER(SEARCH(" "&amp;"HE"&amp;" "," "&amp;$C30&amp;" "))),$A30,""))</f>
      </c>
      <c r="J30" s="52">
        <f>IF(ISNUMBER(H30),IF(YEAR(H30)=Einstellungen!$B$5,H30,""),"")</f>
      </c>
    </row>
    <row r="31" spans="1:10" x14ac:dyDescent="0.25">
      <c r="A31" s="51">
        <v>46691</v>
      </c>
      <c r="B31" s="9" t="s">
        <v>107</v>
      </c>
      <c r="C31" s="9" t="s">
        <v>108</v>
      </c>
      <c r="H31" s="52">
        <f>IF($A31="","",IF(OR($C31="alle",ISNUMBER(SEARCH(" "&amp;IFERROR(VLOOKUP(Einstellungen!$B$6,$E$2:$F$17,2,FALSE),"--")&amp;" "," "&amp;$C31&amp;" "))),$A31,""))</f>
      </c>
      <c r="I31" s="52">
        <f>IF($A31="","",IF(OR($C31="alle",ISNUMBER(SEARCH(" "&amp;"HE"&amp;" "," "&amp;$C31&amp;" "))),$A31,""))</f>
      </c>
      <c r="J31" s="52">
        <f>IF(ISNUMBER(H31),IF(YEAR(H31)=Einstellungen!$B$5,H31,""),"")</f>
      </c>
    </row>
    <row r="32" spans="1:10" x14ac:dyDescent="0.25">
      <c r="A32" s="51">
        <v>46692</v>
      </c>
      <c r="B32" s="9" t="s">
        <v>111</v>
      </c>
      <c r="C32" s="9" t="s">
        <v>112</v>
      </c>
      <c r="H32" s="52">
        <f>IF($A32="","",IF(OR($C32="alle",ISNUMBER(SEARCH(" "&amp;IFERROR(VLOOKUP(Einstellungen!$B$6,$E$2:$F$17,2,FALSE),"--")&amp;" "," "&amp;$C32&amp;" "))),$A32,""))</f>
      </c>
      <c r="I32" s="52">
        <f>IF($A32="","",IF(OR($C32="alle",ISNUMBER(SEARCH(" "&amp;"HE"&amp;" "," "&amp;$C32&amp;" "))),$A32,""))</f>
      </c>
      <c r="J32" s="52">
        <f>IF(ISNUMBER(H32),IF(YEAR(H32)=Einstellungen!$B$5,H32,""),"")</f>
      </c>
    </row>
    <row r="33" spans="1:10" x14ac:dyDescent="0.25">
      <c r="A33" s="51">
        <v>46708</v>
      </c>
      <c r="B33" s="9" t="s">
        <v>115</v>
      </c>
      <c r="C33" s="9" t="s">
        <v>110</v>
      </c>
      <c r="H33" s="52">
        <f>IF($A33="","",IF(OR($C33="alle",ISNUMBER(SEARCH(" "&amp;IFERROR(VLOOKUP(Einstellungen!$B$6,$E$2:$F$17,2,FALSE),"--")&amp;" "," "&amp;$C33&amp;" "))),$A33,""))</f>
      </c>
      <c r="I33" s="52">
        <f>IF($A33="","",IF(OR($C33="alle",ISNUMBER(SEARCH(" "&amp;"HE"&amp;" "," "&amp;$C33&amp;" "))),$A33,""))</f>
      </c>
      <c r="J33" s="52">
        <f>IF(ISNUMBER(H33),IF(YEAR(H33)=Einstellungen!$B$5,H33,""),"")</f>
      </c>
    </row>
    <row r="34" spans="1:10" x14ac:dyDescent="0.25">
      <c r="A34" s="51">
        <v>46746</v>
      </c>
      <c r="B34" s="9" t="s">
        <v>118</v>
      </c>
      <c r="C34" s="9" t="s">
        <v>68</v>
      </c>
      <c r="H34" s="52">
        <f>IF($A34="","",IF(OR($C34="alle",ISNUMBER(SEARCH(" "&amp;IFERROR(VLOOKUP(Einstellungen!$B$6,$E$2:$F$17,2,FALSE),"--")&amp;" "," "&amp;$C34&amp;" "))),$A34,""))</f>
      </c>
      <c r="I34" s="52">
        <f>IF($A34="","",IF(OR($C34="alle",ISNUMBER(SEARCH(" "&amp;"HE"&amp;" "," "&amp;$C34&amp;" "))),$A34,""))</f>
      </c>
      <c r="J34" s="52">
        <f>IF(ISNUMBER(H34),IF(YEAR(H34)=Einstellungen!$B$5,H34,""),"")</f>
      </c>
    </row>
    <row r="35" spans="1:10" x14ac:dyDescent="0.25">
      <c r="A35" s="51">
        <v>46747</v>
      </c>
      <c r="B35" s="9" t="s">
        <v>120</v>
      </c>
      <c r="C35" s="9" t="s">
        <v>68</v>
      </c>
      <c r="H35" s="52">
        <f>IF($A35="","",IF(OR($C35="alle",ISNUMBER(SEARCH(" "&amp;IFERROR(VLOOKUP(Einstellungen!$B$6,$E$2:$F$17,2,FALSE),"--")&amp;" "," "&amp;$C35&amp;" "))),$A35,""))</f>
      </c>
      <c r="I35" s="52">
        <f>IF($A35="","",IF(OR($C35="alle",ISNUMBER(SEARCH(" "&amp;"HE"&amp;" "," "&amp;$C35&amp;" "))),$A35,""))</f>
      </c>
      <c r="J35" s="52">
        <f>IF(ISNUMBER(H35),IF(YEAR(H35)=Einstellungen!$B$5,H35,""),"")</f>
      </c>
    </row>
    <row r="36" spans="1:10" x14ac:dyDescent="0.25">
      <c r="A36" s="51">
        <v>46753</v>
      </c>
      <c r="B36" s="9" t="s">
        <v>67</v>
      </c>
      <c r="C36" s="9" t="s">
        <v>68</v>
      </c>
      <c r="H36" s="52">
        <f>IF($A36="","",IF(OR($C36="alle",ISNUMBER(SEARCH(" "&amp;IFERROR(VLOOKUP(Einstellungen!$B$6,$E$2:$F$17,2,FALSE),"--")&amp;" "," "&amp;$C36&amp;" "))),$A36,""))</f>
      </c>
      <c r="I36" s="52">
        <f>IF($A36="","",IF(OR($C36="alle",ISNUMBER(SEARCH(" "&amp;"HE"&amp;" "," "&amp;$C36&amp;" "))),$A36,""))</f>
      </c>
      <c r="J36" s="52">
        <f>IF(ISNUMBER(H36),IF(YEAR(H36)=Einstellungen!$B$5,H36,""),"")</f>
      </c>
    </row>
    <row r="37" spans="1:10" x14ac:dyDescent="0.25">
      <c r="A37" s="51">
        <v>46758</v>
      </c>
      <c r="B37" s="9" t="s">
        <v>71</v>
      </c>
      <c r="C37" s="9" t="s">
        <v>72</v>
      </c>
      <c r="H37" s="52">
        <f>IF($A37="","",IF(OR($C37="alle",ISNUMBER(SEARCH(" "&amp;IFERROR(VLOOKUP(Einstellungen!$B$6,$E$2:$F$17,2,FALSE),"--")&amp;" "," "&amp;$C37&amp;" "))),$A37,""))</f>
      </c>
      <c r="I37" s="52">
        <f>IF($A37="","",IF(OR($C37="alle",ISNUMBER(SEARCH(" "&amp;"HE"&amp;" "," "&amp;$C37&amp;" "))),$A37,""))</f>
      </c>
      <c r="J37" s="52">
        <f>IF(ISNUMBER(H37),IF(YEAR(H37)=Einstellungen!$B$5,H37,""),"")</f>
      </c>
    </row>
    <row r="38" spans="1:10" x14ac:dyDescent="0.25">
      <c r="A38" s="51">
        <v>46820</v>
      </c>
      <c r="B38" s="9" t="s">
        <v>75</v>
      </c>
      <c r="C38" s="9" t="s">
        <v>76</v>
      </c>
      <c r="H38" s="52">
        <f>IF($A38="","",IF(OR($C38="alle",ISNUMBER(SEARCH(" "&amp;IFERROR(VLOOKUP(Einstellungen!$B$6,$E$2:$F$17,2,FALSE),"--")&amp;" "," "&amp;$C38&amp;" "))),$A38,""))</f>
      </c>
      <c r="I38" s="52">
        <f>IF($A38="","",IF(OR($C38="alle",ISNUMBER(SEARCH(" "&amp;"HE"&amp;" "," "&amp;$C38&amp;" "))),$A38,""))</f>
      </c>
      <c r="J38" s="52">
        <f>IF(ISNUMBER(H38),IF(YEAR(H38)=Einstellungen!$B$5,H38,""),"")</f>
      </c>
    </row>
    <row r="39" spans="1:10" x14ac:dyDescent="0.25">
      <c r="A39" s="51">
        <v>46857</v>
      </c>
      <c r="B39" s="9" t="s">
        <v>79</v>
      </c>
      <c r="C39" s="9" t="s">
        <v>68</v>
      </c>
      <c r="H39" s="52">
        <f>IF($A39="","",IF(OR($C39="alle",ISNUMBER(SEARCH(" "&amp;IFERROR(VLOOKUP(Einstellungen!$B$6,$E$2:$F$17,2,FALSE),"--")&amp;" "," "&amp;$C39&amp;" "))),$A39,""))</f>
      </c>
      <c r="I39" s="52">
        <f>IF($A39="","",IF(OR($C39="alle",ISNUMBER(SEARCH(" "&amp;"HE"&amp;" "," "&amp;$C39&amp;" "))),$A39,""))</f>
      </c>
      <c r="J39" s="52">
        <f>IF(ISNUMBER(H39),IF(YEAR(H39)=Einstellungen!$B$5,H39,""),"")</f>
      </c>
    </row>
    <row r="40" spans="1:10" x14ac:dyDescent="0.25">
      <c r="A40" s="51">
        <v>46860</v>
      </c>
      <c r="B40" s="9" t="s">
        <v>82</v>
      </c>
      <c r="C40" s="9" t="s">
        <v>68</v>
      </c>
      <c r="H40" s="52">
        <f>IF($A40="","",IF(OR($C40="alle",ISNUMBER(SEARCH(" "&amp;IFERROR(VLOOKUP(Einstellungen!$B$6,$E$2:$F$17,2,FALSE),"--")&amp;" "," "&amp;$C40&amp;" "))),$A40,""))</f>
      </c>
      <c r="I40" s="52">
        <f>IF($A40="","",IF(OR($C40="alle",ISNUMBER(SEARCH(" "&amp;"HE"&amp;" "," "&amp;$C40&amp;" "))),$A40,""))</f>
      </c>
      <c r="J40" s="52">
        <f>IF(ISNUMBER(H40),IF(YEAR(H40)=Einstellungen!$B$5,H40,""),"")</f>
      </c>
    </row>
    <row r="41" spans="1:10" x14ac:dyDescent="0.25">
      <c r="A41" s="51">
        <v>46874</v>
      </c>
      <c r="B41" s="9" t="s">
        <v>85</v>
      </c>
      <c r="C41" s="9" t="s">
        <v>68</v>
      </c>
      <c r="H41" s="52">
        <f>IF($A41="","",IF(OR($C41="alle",ISNUMBER(SEARCH(" "&amp;IFERROR(VLOOKUP(Einstellungen!$B$6,$E$2:$F$17,2,FALSE),"--")&amp;" "," "&amp;$C41&amp;" "))),$A41,""))</f>
      </c>
      <c r="I41" s="52">
        <f>IF($A41="","",IF(OR($C41="alle",ISNUMBER(SEARCH(" "&amp;"HE"&amp;" "," "&amp;$C41&amp;" "))),$A41,""))</f>
      </c>
      <c r="J41" s="52">
        <f>IF(ISNUMBER(H41),IF(YEAR(H41)=Einstellungen!$B$5,H41,""),"")</f>
      </c>
    </row>
    <row r="42" spans="1:10" x14ac:dyDescent="0.25">
      <c r="A42" s="51">
        <v>46898</v>
      </c>
      <c r="B42" s="9" t="s">
        <v>88</v>
      </c>
      <c r="C42" s="9" t="s">
        <v>68</v>
      </c>
      <c r="H42" s="52">
        <f>IF($A42="","",IF(OR($C42="alle",ISNUMBER(SEARCH(" "&amp;IFERROR(VLOOKUP(Einstellungen!$B$6,$E$2:$F$17,2,FALSE),"--")&amp;" "," "&amp;$C42&amp;" "))),$A42,""))</f>
      </c>
      <c r="I42" s="52">
        <f>IF($A42="","",IF(OR($C42="alle",ISNUMBER(SEARCH(" "&amp;"HE"&amp;" "," "&amp;$C42&amp;" "))),$A42,""))</f>
      </c>
      <c r="J42" s="52">
        <f>IF(ISNUMBER(H42),IF(YEAR(H42)=Einstellungen!$B$5,H42,""),"")</f>
      </c>
    </row>
    <row r="43" spans="1:10" x14ac:dyDescent="0.25">
      <c r="A43" s="51">
        <v>46909</v>
      </c>
      <c r="B43" s="9" t="s">
        <v>90</v>
      </c>
      <c r="C43" s="9" t="s">
        <v>68</v>
      </c>
      <c r="H43" s="52">
        <f>IF($A43="","",IF(OR($C43="alle",ISNUMBER(SEARCH(" "&amp;IFERROR(VLOOKUP(Einstellungen!$B$6,$E$2:$F$17,2,FALSE),"--")&amp;" "," "&amp;$C43&amp;" "))),$A43,""))</f>
      </c>
      <c r="I43" s="52">
        <f>IF($A43="","",IF(OR($C43="alle",ISNUMBER(SEARCH(" "&amp;"HE"&amp;" "," "&amp;$C43&amp;" "))),$A43,""))</f>
      </c>
      <c r="J43" s="52">
        <f>IF(ISNUMBER(H43),IF(YEAR(H43)=Einstellungen!$B$5,H43,""),"")</f>
      </c>
    </row>
    <row r="44" spans="1:10" x14ac:dyDescent="0.25">
      <c r="A44" s="51">
        <v>46919</v>
      </c>
      <c r="B44" s="9" t="s">
        <v>93</v>
      </c>
      <c r="C44" s="9" t="s">
        <v>94</v>
      </c>
      <c r="H44" s="52">
        <f>IF($A44="","",IF(OR($C44="alle",ISNUMBER(SEARCH(" "&amp;IFERROR(VLOOKUP(Einstellungen!$B$6,$E$2:$F$17,2,FALSE),"--")&amp;" "," "&amp;$C44&amp;" "))),$A44,""))</f>
      </c>
      <c r="I44" s="52">
        <f>IF($A44="","",IF(OR($C44="alle",ISNUMBER(SEARCH(" "&amp;"HE"&amp;" "," "&amp;$C44&amp;" "))),$A44,""))</f>
      </c>
      <c r="J44" s="52">
        <f>IF(ISNUMBER(H44),IF(YEAR(H44)=Einstellungen!$B$5,H44,""),"")</f>
      </c>
    </row>
    <row r="45" spans="1:10" x14ac:dyDescent="0.25">
      <c r="A45" s="51">
        <v>46980</v>
      </c>
      <c r="B45" s="9" t="s">
        <v>97</v>
      </c>
      <c r="C45" s="9" t="s">
        <v>98</v>
      </c>
      <c r="H45" s="52">
        <f>IF($A45="","",IF(OR($C45="alle",ISNUMBER(SEARCH(" "&amp;IFERROR(VLOOKUP(Einstellungen!$B$6,$E$2:$F$17,2,FALSE),"--")&amp;" "," "&amp;$C45&amp;" "))),$A45,""))</f>
      </c>
      <c r="I45" s="52">
        <f>IF($A45="","",IF(OR($C45="alle",ISNUMBER(SEARCH(" "&amp;"HE"&amp;" "," "&amp;$C45&amp;" "))),$A45,""))</f>
      </c>
      <c r="J45" s="52">
        <f>IF(ISNUMBER(H45),IF(YEAR(H45)=Einstellungen!$B$5,H45,""),"")</f>
      </c>
    </row>
    <row r="46" spans="1:10" x14ac:dyDescent="0.25">
      <c r="A46" s="51">
        <v>47016</v>
      </c>
      <c r="B46" s="9" t="s">
        <v>101</v>
      </c>
      <c r="C46" s="9" t="s">
        <v>102</v>
      </c>
      <c r="H46" s="52">
        <f>IF($A46="","",IF(OR($C46="alle",ISNUMBER(SEARCH(" "&amp;IFERROR(VLOOKUP(Einstellungen!$B$6,$E$2:$F$17,2,FALSE),"--")&amp;" "," "&amp;$C46&amp;" "))),$A46,""))</f>
      </c>
      <c r="I46" s="52">
        <f>IF($A46="","",IF(OR($C46="alle",ISNUMBER(SEARCH(" "&amp;"HE"&amp;" "," "&amp;$C46&amp;" "))),$A46,""))</f>
      </c>
      <c r="J46" s="52">
        <f>IF(ISNUMBER(H46),IF(YEAR(H46)=Einstellungen!$B$5,H46,""),"")</f>
      </c>
    </row>
    <row r="47" spans="1:10" x14ac:dyDescent="0.25">
      <c r="A47" s="51">
        <v>47029</v>
      </c>
      <c r="B47" s="9" t="s">
        <v>105</v>
      </c>
      <c r="C47" s="9" t="s">
        <v>68</v>
      </c>
      <c r="H47" s="52">
        <f>IF($A47="","",IF(OR($C47="alle",ISNUMBER(SEARCH(" "&amp;IFERROR(VLOOKUP(Einstellungen!$B$6,$E$2:$F$17,2,FALSE),"--")&amp;" "," "&amp;$C47&amp;" "))),$A47,""))</f>
      </c>
      <c r="I47" s="52">
        <f>IF($A47="","",IF(OR($C47="alle",ISNUMBER(SEARCH(" "&amp;"HE"&amp;" "," "&amp;$C47&amp;" "))),$A47,""))</f>
      </c>
      <c r="J47" s="52">
        <f>IF(ISNUMBER(H47),IF(YEAR(H47)=Einstellungen!$B$5,H47,""),"")</f>
      </c>
    </row>
    <row r="48" spans="1:10" x14ac:dyDescent="0.25">
      <c r="A48" s="51">
        <v>47057</v>
      </c>
      <c r="B48" s="9" t="s">
        <v>107</v>
      </c>
      <c r="C48" s="9" t="s">
        <v>108</v>
      </c>
      <c r="H48" s="52">
        <f>IF($A48="","",IF(OR($C48="alle",ISNUMBER(SEARCH(" "&amp;IFERROR(VLOOKUP(Einstellungen!$B$6,$E$2:$F$17,2,FALSE),"--")&amp;" "," "&amp;$C48&amp;" "))),$A48,""))</f>
      </c>
      <c r="I48" s="52">
        <f>IF($A48="","",IF(OR($C48="alle",ISNUMBER(SEARCH(" "&amp;"HE"&amp;" "," "&amp;$C48&amp;" "))),$A48,""))</f>
      </c>
      <c r="J48" s="52">
        <f>IF(ISNUMBER(H48),IF(YEAR(H48)=Einstellungen!$B$5,H48,""),"")</f>
      </c>
    </row>
    <row r="49" spans="1:10" x14ac:dyDescent="0.25">
      <c r="A49" s="51">
        <v>47058</v>
      </c>
      <c r="B49" s="9" t="s">
        <v>111</v>
      </c>
      <c r="C49" s="9" t="s">
        <v>112</v>
      </c>
      <c r="H49" s="52">
        <f>IF($A49="","",IF(OR($C49="alle",ISNUMBER(SEARCH(" "&amp;IFERROR(VLOOKUP(Einstellungen!$B$6,$E$2:$F$17,2,FALSE),"--")&amp;" "," "&amp;$C49&amp;" "))),$A49,""))</f>
      </c>
      <c r="I49" s="52">
        <f>IF($A49="","",IF(OR($C49="alle",ISNUMBER(SEARCH(" "&amp;"HE"&amp;" "," "&amp;$C49&amp;" "))),$A49,""))</f>
      </c>
      <c r="J49" s="52">
        <f>IF(ISNUMBER(H49),IF(YEAR(H49)=Einstellungen!$B$5,H49,""),"")</f>
      </c>
    </row>
    <row r="50" spans="1:10" x14ac:dyDescent="0.25">
      <c r="A50" s="51">
        <v>47079</v>
      </c>
      <c r="B50" s="9" t="s">
        <v>115</v>
      </c>
      <c r="C50" s="9" t="s">
        <v>110</v>
      </c>
      <c r="H50" s="52">
        <f>IF($A50="","",IF(OR($C50="alle",ISNUMBER(SEARCH(" "&amp;IFERROR(VLOOKUP(Einstellungen!$B$6,$E$2:$F$17,2,FALSE),"--")&amp;" "," "&amp;$C50&amp;" "))),$A50,""))</f>
      </c>
      <c r="I50" s="52">
        <f>IF($A50="","",IF(OR($C50="alle",ISNUMBER(SEARCH(" "&amp;"HE"&amp;" "," "&amp;$C50&amp;" "))),$A50,""))</f>
      </c>
      <c r="J50" s="52">
        <f>IF(ISNUMBER(H50),IF(YEAR(H50)=Einstellungen!$B$5,H50,""),"")</f>
      </c>
    </row>
    <row r="51" spans="1:10" x14ac:dyDescent="0.25">
      <c r="A51" s="51">
        <v>47112</v>
      </c>
      <c r="B51" s="9" t="s">
        <v>118</v>
      </c>
      <c r="C51" s="9" t="s">
        <v>68</v>
      </c>
      <c r="H51" s="52">
        <f>IF($A51="","",IF(OR($C51="alle",ISNUMBER(SEARCH(" "&amp;IFERROR(VLOOKUP(Einstellungen!$B$6,$E$2:$F$17,2,FALSE),"--")&amp;" "," "&amp;$C51&amp;" "))),$A51,""))</f>
      </c>
      <c r="I51" s="52">
        <f>IF($A51="","",IF(OR($C51="alle",ISNUMBER(SEARCH(" "&amp;"HE"&amp;" "," "&amp;$C51&amp;" "))),$A51,""))</f>
      </c>
      <c r="J51" s="52">
        <f>IF(ISNUMBER(H51),IF(YEAR(H51)=Einstellungen!$B$5,H51,""),"")</f>
      </c>
    </row>
    <row r="52" spans="1:10" x14ac:dyDescent="0.25">
      <c r="A52" s="51">
        <v>47113</v>
      </c>
      <c r="B52" s="9" t="s">
        <v>120</v>
      </c>
      <c r="C52" s="9" t="s">
        <v>68</v>
      </c>
      <c r="H52" s="52">
        <f>IF($A52="","",IF(OR($C52="alle",ISNUMBER(SEARCH(" "&amp;IFERROR(VLOOKUP(Einstellungen!$B$6,$E$2:$F$17,2,FALSE),"--")&amp;" "," "&amp;$C52&amp;" "))),$A52,""))</f>
      </c>
      <c r="I52" s="52">
        <f>IF($A52="","",IF(OR($C52="alle",ISNUMBER(SEARCH(" "&amp;"HE"&amp;" "," "&amp;$C52&amp;" "))),$A52,""))</f>
      </c>
      <c r="J52" s="52">
        <f>IF(ISNUMBER(H52),IF(YEAR(H52)=Einstellungen!$B$5,H52,""),"")</f>
      </c>
    </row>
    <row r="53" spans="1:10" x14ac:dyDescent="0.25">
      <c r="A53" s="51">
        <v>47119</v>
      </c>
      <c r="B53" s="9" t="s">
        <v>67</v>
      </c>
      <c r="C53" s="9" t="s">
        <v>68</v>
      </c>
      <c r="H53" s="52">
        <f>IF($A53="","",IF(OR($C53="alle",ISNUMBER(SEARCH(" "&amp;IFERROR(VLOOKUP(Einstellungen!$B$6,$E$2:$F$17,2,FALSE),"--")&amp;" "," "&amp;$C53&amp;" "))),$A53,""))</f>
      </c>
      <c r="I53" s="52">
        <f>IF($A53="","",IF(OR($C53="alle",ISNUMBER(SEARCH(" "&amp;"HE"&amp;" "," "&amp;$C53&amp;" "))),$A53,""))</f>
      </c>
      <c r="J53" s="52">
        <f>IF(ISNUMBER(H53),IF(YEAR(H53)=Einstellungen!$B$5,H53,""),"")</f>
      </c>
    </row>
    <row r="54" ht="24" customHeight="1" spans="1:10" x14ac:dyDescent="0.25">
      <c r="A54" s="51">
        <v>47124</v>
      </c>
      <c r="B54" s="9" t="s">
        <v>71</v>
      </c>
      <c r="C54" s="9" t="s">
        <v>72</v>
      </c>
      <c r="H54" s="52">
        <f>IF($A54="","",IF(OR($C54="alle",ISNUMBER(SEARCH(" "&amp;IFERROR(VLOOKUP(Einstellungen!$B$6,$E$2:$F$17,2,FALSE),"--")&amp;" "," "&amp;$C54&amp;" "))),$A54,""))</f>
      </c>
      <c r="I54" s="52">
        <f>IF($A54="","",IF(OR($C54="alle",ISNUMBER(SEARCH(" "&amp;"HE"&amp;" "," "&amp;$C54&amp;" "))),$A54,""))</f>
      </c>
      <c r="J54" s="52">
        <f>IF(ISNUMBER(H54),IF(YEAR(H54)=Einstellungen!$B$5,H54,""),"")</f>
      </c>
    </row>
    <row r="55" ht="24" customHeight="1" spans="1:10" x14ac:dyDescent="0.25">
      <c r="A55" s="51">
        <v>47185</v>
      </c>
      <c r="B55" s="9" t="s">
        <v>75</v>
      </c>
      <c r="C55" s="9" t="s">
        <v>76</v>
      </c>
      <c r="H55" s="52">
        <f>IF($A55="","",IF(OR($C55="alle",ISNUMBER(SEARCH(" "&amp;IFERROR(VLOOKUP(Einstellungen!$B$6,$E$2:$F$17,2,FALSE),"--")&amp;" "," "&amp;$C55&amp;" "))),$A55,""))</f>
      </c>
      <c r="I55" s="52">
        <f>IF($A55="","",IF(OR($C55="alle",ISNUMBER(SEARCH(" "&amp;"HE"&amp;" "," "&amp;$C55&amp;" "))),$A55,""))</f>
      </c>
      <c r="J55" s="52">
        <f>IF(ISNUMBER(H55),IF(YEAR(H55)=Einstellungen!$B$5,H55,""),"")</f>
      </c>
    </row>
    <row r="56" ht="24" customHeight="1" spans="1:10" x14ac:dyDescent="0.25">
      <c r="A56" s="51">
        <v>47207</v>
      </c>
      <c r="B56" s="9" t="s">
        <v>79</v>
      </c>
      <c r="C56" s="9" t="s">
        <v>68</v>
      </c>
      <c r="H56" s="52">
        <f>IF($A56="","",IF(OR($C56="alle",ISNUMBER(SEARCH(" "&amp;IFERROR(VLOOKUP(Einstellungen!$B$6,$E$2:$F$17,2,FALSE),"--")&amp;" "," "&amp;$C56&amp;" "))),$A56,""))</f>
      </c>
      <c r="I56" s="52">
        <f>IF($A56="","",IF(OR($C56="alle",ISNUMBER(SEARCH(" "&amp;"HE"&amp;" "," "&amp;$C56&amp;" "))),$A56,""))</f>
      </c>
      <c r="J56" s="52">
        <f>IF(ISNUMBER(H56),IF(YEAR(H56)=Einstellungen!$B$5,H56,""),"")</f>
      </c>
    </row>
    <row r="57" spans="1:10" x14ac:dyDescent="0.25">
      <c r="A57" s="51">
        <v>47210</v>
      </c>
      <c r="B57" s="9" t="s">
        <v>82</v>
      </c>
      <c r="C57" s="9" t="s">
        <v>68</v>
      </c>
      <c r="H57" s="52">
        <f>IF($A57="","",IF(OR($C57="alle",ISNUMBER(SEARCH(" "&amp;IFERROR(VLOOKUP(Einstellungen!$B$6,$E$2:$F$17,2,FALSE),"--")&amp;" "," "&amp;$C57&amp;" "))),$A57,""))</f>
      </c>
      <c r="I57" s="52">
        <f>IF($A57="","",IF(OR($C57="alle",ISNUMBER(SEARCH(" "&amp;"HE"&amp;" "," "&amp;$C57&amp;" "))),$A57,""))</f>
      </c>
      <c r="J57" s="52">
        <f>IF(ISNUMBER(H57),IF(YEAR(H57)=Einstellungen!$B$5,H57,""),"")</f>
      </c>
    </row>
    <row r="58" spans="1:10" x14ac:dyDescent="0.25">
      <c r="A58" s="51">
        <v>47239</v>
      </c>
      <c r="B58" s="9" t="s">
        <v>85</v>
      </c>
      <c r="C58" s="9" t="s">
        <v>68</v>
      </c>
      <c r="H58" s="52">
        <f>IF($A58="","",IF(OR($C58="alle",ISNUMBER(SEARCH(" "&amp;IFERROR(VLOOKUP(Einstellungen!$B$6,$E$2:$F$17,2,FALSE),"--")&amp;" "," "&amp;$C58&amp;" "))),$A58,""))</f>
      </c>
      <c r="I58" s="52">
        <f>IF($A58="","",IF(OR($C58="alle",ISNUMBER(SEARCH(" "&amp;"HE"&amp;" "," "&amp;$C58&amp;" "))),$A58,""))</f>
      </c>
      <c r="J58" s="52">
        <f>IF(ISNUMBER(H58),IF(YEAR(H58)=Einstellungen!$B$5,H58,""),"")</f>
      </c>
    </row>
    <row r="59" spans="1:10" x14ac:dyDescent="0.25">
      <c r="A59" s="51">
        <v>47248</v>
      </c>
      <c r="B59" s="9" t="s">
        <v>88</v>
      </c>
      <c r="C59" s="9" t="s">
        <v>68</v>
      </c>
      <c r="H59" s="52">
        <f>IF($A59="","",IF(OR($C59="alle",ISNUMBER(SEARCH(" "&amp;IFERROR(VLOOKUP(Einstellungen!$B$6,$E$2:$F$17,2,FALSE),"--")&amp;" "," "&amp;$C59&amp;" "))),$A59,""))</f>
      </c>
      <c r="I59" s="52">
        <f>IF($A59="","",IF(OR($C59="alle",ISNUMBER(SEARCH(" "&amp;"HE"&amp;" "," "&amp;$C59&amp;" "))),$A59,""))</f>
      </c>
      <c r="J59" s="52">
        <f>IF(ISNUMBER(H59),IF(YEAR(H59)=Einstellungen!$B$5,H59,""),"")</f>
      </c>
    </row>
    <row r="60" spans="1:10" x14ac:dyDescent="0.25">
      <c r="A60" s="51">
        <v>47259</v>
      </c>
      <c r="B60" s="9" t="s">
        <v>90</v>
      </c>
      <c r="C60" s="9" t="s">
        <v>68</v>
      </c>
      <c r="H60" s="52">
        <f>IF($A60="","",IF(OR($C60="alle",ISNUMBER(SEARCH(" "&amp;IFERROR(VLOOKUP(Einstellungen!$B$6,$E$2:$F$17,2,FALSE),"--")&amp;" "," "&amp;$C60&amp;" "))),$A60,""))</f>
      </c>
      <c r="I60" s="52">
        <f>IF($A60="","",IF(OR($C60="alle",ISNUMBER(SEARCH(" "&amp;"HE"&amp;" "," "&amp;$C60&amp;" "))),$A60,""))</f>
      </c>
      <c r="J60" s="52">
        <f>IF(ISNUMBER(H60),IF(YEAR(H60)=Einstellungen!$B$5,H60,""),"")</f>
      </c>
    </row>
    <row r="61" spans="1:10" x14ac:dyDescent="0.25">
      <c r="A61" s="51">
        <v>47269</v>
      </c>
      <c r="B61" s="9" t="s">
        <v>93</v>
      </c>
      <c r="C61" s="9" t="s">
        <v>94</v>
      </c>
      <c r="H61" s="52">
        <f>IF($A61="","",IF(OR($C61="alle",ISNUMBER(SEARCH(" "&amp;IFERROR(VLOOKUP(Einstellungen!$B$6,$E$2:$F$17,2,FALSE),"--")&amp;" "," "&amp;$C61&amp;" "))),$A61,""))</f>
      </c>
      <c r="I61" s="52">
        <f>IF($A61="","",IF(OR($C61="alle",ISNUMBER(SEARCH(" "&amp;"HE"&amp;" "," "&amp;$C61&amp;" "))),$A61,""))</f>
      </c>
      <c r="J61" s="52">
        <f>IF(ISNUMBER(H61),IF(YEAR(H61)=Einstellungen!$B$5,H61,""),"")</f>
      </c>
    </row>
    <row r="62" spans="1:10" x14ac:dyDescent="0.25">
      <c r="A62" s="51">
        <v>47345</v>
      </c>
      <c r="B62" s="9" t="s">
        <v>97</v>
      </c>
      <c r="C62" s="9" t="s">
        <v>98</v>
      </c>
      <c r="H62" s="52">
        <f>IF($A62="","",IF(OR($C62="alle",ISNUMBER(SEARCH(" "&amp;IFERROR(VLOOKUP(Einstellungen!$B$6,$E$2:$F$17,2,FALSE),"--")&amp;" "," "&amp;$C62&amp;" "))),$A62,""))</f>
      </c>
      <c r="I62" s="52">
        <f>IF($A62="","",IF(OR($C62="alle",ISNUMBER(SEARCH(" "&amp;"HE"&amp;" "," "&amp;$C62&amp;" "))),$A62,""))</f>
      </c>
      <c r="J62" s="52">
        <f>IF(ISNUMBER(H62),IF(YEAR(H62)=Einstellungen!$B$5,H62,""),"")</f>
      </c>
    </row>
    <row r="63" spans="1:10" x14ac:dyDescent="0.25">
      <c r="A63" s="51">
        <v>47381</v>
      </c>
      <c r="B63" s="9" t="s">
        <v>101</v>
      </c>
      <c r="C63" s="9" t="s">
        <v>102</v>
      </c>
      <c r="H63" s="52">
        <f>IF($A63="","",IF(OR($C63="alle",ISNUMBER(SEARCH(" "&amp;IFERROR(VLOOKUP(Einstellungen!$B$6,$E$2:$F$17,2,FALSE),"--")&amp;" "," "&amp;$C63&amp;" "))),$A63,""))</f>
      </c>
      <c r="I63" s="52">
        <f>IF($A63="","",IF(OR($C63="alle",ISNUMBER(SEARCH(" "&amp;"HE"&amp;" "," "&amp;$C63&amp;" "))),$A63,""))</f>
      </c>
      <c r="J63" s="52">
        <f>IF(ISNUMBER(H63),IF(YEAR(H63)=Einstellungen!$B$5,H63,""),"")</f>
      </c>
    </row>
    <row r="64" spans="1:10" x14ac:dyDescent="0.25">
      <c r="A64" s="51">
        <v>47394</v>
      </c>
      <c r="B64" s="9" t="s">
        <v>105</v>
      </c>
      <c r="C64" s="9" t="s">
        <v>68</v>
      </c>
      <c r="H64" s="52">
        <f>IF($A64="","",IF(OR($C64="alle",ISNUMBER(SEARCH(" "&amp;IFERROR(VLOOKUP(Einstellungen!$B$6,$E$2:$F$17,2,FALSE),"--")&amp;" "," "&amp;$C64&amp;" "))),$A64,""))</f>
      </c>
      <c r="I64" s="52">
        <f>IF($A64="","",IF(OR($C64="alle",ISNUMBER(SEARCH(" "&amp;"HE"&amp;" "," "&amp;$C64&amp;" "))),$A64,""))</f>
      </c>
      <c r="J64" s="52">
        <f>IF(ISNUMBER(H64),IF(YEAR(H64)=Einstellungen!$B$5,H64,""),"")</f>
      </c>
    </row>
    <row r="65" spans="1:10" x14ac:dyDescent="0.25">
      <c r="A65" s="51">
        <v>47422</v>
      </c>
      <c r="B65" s="9" t="s">
        <v>107</v>
      </c>
      <c r="C65" s="9" t="s">
        <v>108</v>
      </c>
      <c r="H65" s="52">
        <f>IF($A65="","",IF(OR($C65="alle",ISNUMBER(SEARCH(" "&amp;IFERROR(VLOOKUP(Einstellungen!$B$6,$E$2:$F$17,2,FALSE),"--")&amp;" "," "&amp;$C65&amp;" "))),$A65,""))</f>
      </c>
      <c r="I65" s="52">
        <f>IF($A65="","",IF(OR($C65="alle",ISNUMBER(SEARCH(" "&amp;"HE"&amp;" "," "&amp;$C65&amp;" "))),$A65,""))</f>
      </c>
      <c r="J65" s="52">
        <f>IF(ISNUMBER(H65),IF(YEAR(H65)=Einstellungen!$B$5,H65,""),"")</f>
      </c>
    </row>
    <row r="66" spans="1:10" x14ac:dyDescent="0.25">
      <c r="A66" s="51">
        <v>47423</v>
      </c>
      <c r="B66" s="9" t="s">
        <v>111</v>
      </c>
      <c r="C66" s="9" t="s">
        <v>112</v>
      </c>
      <c r="H66" s="52">
        <f>IF($A66="","",IF(OR($C66="alle",ISNUMBER(SEARCH(" "&amp;IFERROR(VLOOKUP(Einstellungen!$B$6,$E$2:$F$17,2,FALSE),"--")&amp;" "," "&amp;$C66&amp;" "))),$A66,""))</f>
      </c>
      <c r="I66" s="52">
        <f>IF($A66="","",IF(OR($C66="alle",ISNUMBER(SEARCH(" "&amp;"HE"&amp;" "," "&amp;$C66&amp;" "))),$A66,""))</f>
      </c>
      <c r="J66" s="52">
        <f>IF(ISNUMBER(H66),IF(YEAR(H66)=Einstellungen!$B$5,H66,""),"")</f>
      </c>
    </row>
    <row r="67" spans="1:10" x14ac:dyDescent="0.25">
      <c r="A67" s="51">
        <v>47443</v>
      </c>
      <c r="B67" s="9" t="s">
        <v>115</v>
      </c>
      <c r="C67" s="9" t="s">
        <v>110</v>
      </c>
      <c r="H67" s="52">
        <f>IF($A67="","",IF(OR($C67="alle",ISNUMBER(SEARCH(" "&amp;IFERROR(VLOOKUP(Einstellungen!$B$6,$E$2:$F$17,2,FALSE),"--")&amp;" "," "&amp;$C67&amp;" "))),$A67,""))</f>
      </c>
      <c r="I67" s="52">
        <f>IF($A67="","",IF(OR($C67="alle",ISNUMBER(SEARCH(" "&amp;"HE"&amp;" "," "&amp;$C67&amp;" "))),$A67,""))</f>
      </c>
      <c r="J67" s="52">
        <f>IF(ISNUMBER(H67),IF(YEAR(H67)=Einstellungen!$B$5,H67,""),"")</f>
      </c>
    </row>
    <row r="68" spans="1:10" x14ac:dyDescent="0.25">
      <c r="A68" s="51">
        <v>47477</v>
      </c>
      <c r="B68" s="9" t="s">
        <v>118</v>
      </c>
      <c r="C68" s="9" t="s">
        <v>68</v>
      </c>
      <c r="H68" s="52">
        <f>IF($A68="","",IF(OR($C68="alle",ISNUMBER(SEARCH(" "&amp;IFERROR(VLOOKUP(Einstellungen!$B$6,$E$2:$F$17,2,FALSE),"--")&amp;" "," "&amp;$C68&amp;" "))),$A68,""))</f>
      </c>
      <c r="I68" s="52">
        <f>IF($A68="","",IF(OR($C68="alle",ISNUMBER(SEARCH(" "&amp;"HE"&amp;" "," "&amp;$C68&amp;" "))),$A68,""))</f>
      </c>
      <c r="J68" s="52">
        <f>IF(ISNUMBER(H68),IF(YEAR(H68)=Einstellungen!$B$5,H68,""),"")</f>
      </c>
    </row>
    <row r="69" spans="1:10" x14ac:dyDescent="0.25">
      <c r="A69" s="51">
        <v>47478</v>
      </c>
      <c r="B69" s="9" t="s">
        <v>120</v>
      </c>
      <c r="C69" s="9" t="s">
        <v>68</v>
      </c>
      <c r="H69" s="52">
        <f>IF($A69="","",IF(OR($C69="alle",ISNUMBER(SEARCH(" "&amp;IFERROR(VLOOKUP(Einstellungen!$B$6,$E$2:$F$17,2,FALSE),"--")&amp;" "," "&amp;$C69&amp;" "))),$A69,""))</f>
      </c>
      <c r="I69" s="52">
        <f>IF($A69="","",IF(OR($C69="alle",ISNUMBER(SEARCH(" "&amp;"HE"&amp;" "," "&amp;$C69&amp;" "))),$A69,""))</f>
      </c>
      <c r="J69" s="52">
        <f>IF(ISNUMBER(H69),IF(YEAR(H69)=Einstellungen!$B$5,H69,""),"")</f>
      </c>
    </row>
    <row r="70" spans="1:10" x14ac:dyDescent="0.25">
      <c r="A70" s="51">
        <v>47484</v>
      </c>
      <c r="B70" s="9" t="s">
        <v>67</v>
      </c>
      <c r="C70" s="9" t="s">
        <v>68</v>
      </c>
      <c r="H70" s="52">
        <f>IF($A70="","",IF(OR($C70="alle",ISNUMBER(SEARCH(" "&amp;IFERROR(VLOOKUP(Einstellungen!$B$6,$E$2:$F$17,2,FALSE),"--")&amp;" "," "&amp;$C70&amp;" "))),$A70,""))</f>
      </c>
      <c r="I70" s="52">
        <f>IF($A70="","",IF(OR($C70="alle",ISNUMBER(SEARCH(" "&amp;"HE"&amp;" "," "&amp;$C70&amp;" "))),$A70,""))</f>
      </c>
      <c r="J70" s="52">
        <f>IF(ISNUMBER(H70),IF(YEAR(H70)=Einstellungen!$B$5,H70,""),"")</f>
      </c>
    </row>
    <row r="71" spans="1:10" x14ac:dyDescent="0.25">
      <c r="A71" s="51">
        <v>47489</v>
      </c>
      <c r="B71" s="9" t="s">
        <v>71</v>
      </c>
      <c r="C71" s="9" t="s">
        <v>72</v>
      </c>
      <c r="H71" s="52">
        <f>IF($A71="","",IF(OR($C71="alle",ISNUMBER(SEARCH(" "&amp;IFERROR(VLOOKUP(Einstellungen!$B$6,$E$2:$F$17,2,FALSE),"--")&amp;" "," "&amp;$C71&amp;" "))),$A71,""))</f>
      </c>
      <c r="I71" s="52">
        <f>IF($A71="","",IF(OR($C71="alle",ISNUMBER(SEARCH(" "&amp;"HE"&amp;" "," "&amp;$C71&amp;" "))),$A71,""))</f>
      </c>
      <c r="J71" s="52">
        <f>IF(ISNUMBER(H71),IF(YEAR(H71)=Einstellungen!$B$5,H71,""),"")</f>
      </c>
    </row>
    <row r="72" spans="1:10" x14ac:dyDescent="0.25">
      <c r="A72" s="51">
        <v>47550</v>
      </c>
      <c r="B72" s="9" t="s">
        <v>75</v>
      </c>
      <c r="C72" s="9" t="s">
        <v>76</v>
      </c>
      <c r="H72" s="52">
        <f>IF($A72="","",IF(OR($C72="alle",ISNUMBER(SEARCH(" "&amp;IFERROR(VLOOKUP(Einstellungen!$B$6,$E$2:$F$17,2,FALSE),"--")&amp;" "," "&amp;$C72&amp;" "))),$A72,""))</f>
      </c>
      <c r="I72" s="52">
        <f>IF($A72="","",IF(OR($C72="alle",ISNUMBER(SEARCH(" "&amp;"HE"&amp;" "," "&amp;$C72&amp;" "))),$A72,""))</f>
      </c>
      <c r="J72" s="52">
        <f>IF(ISNUMBER(H72),IF(YEAR(H72)=Einstellungen!$B$5,H72,""),"")</f>
      </c>
    </row>
    <row r="73" spans="1:10" x14ac:dyDescent="0.25">
      <c r="A73" s="51">
        <v>47592</v>
      </c>
      <c r="B73" s="9" t="s">
        <v>79</v>
      </c>
      <c r="C73" s="9" t="s">
        <v>68</v>
      </c>
      <c r="H73" s="52">
        <f>IF($A73="","",IF(OR($C73="alle",ISNUMBER(SEARCH(" "&amp;IFERROR(VLOOKUP(Einstellungen!$B$6,$E$2:$F$17,2,FALSE),"--")&amp;" "," "&amp;$C73&amp;" "))),$A73,""))</f>
      </c>
      <c r="I73" s="52">
        <f>IF($A73="","",IF(OR($C73="alle",ISNUMBER(SEARCH(" "&amp;"HE"&amp;" "," "&amp;$C73&amp;" "))),$A73,""))</f>
      </c>
      <c r="J73" s="52">
        <f>IF(ISNUMBER(H73),IF(YEAR(H73)=Einstellungen!$B$5,H73,""),"")</f>
      </c>
    </row>
    <row r="74" spans="1:10" x14ac:dyDescent="0.25">
      <c r="A74" s="51">
        <v>47595</v>
      </c>
      <c r="B74" s="9" t="s">
        <v>82</v>
      </c>
      <c r="C74" s="9" t="s">
        <v>68</v>
      </c>
      <c r="H74" s="52">
        <f>IF($A74="","",IF(OR($C74="alle",ISNUMBER(SEARCH(" "&amp;IFERROR(VLOOKUP(Einstellungen!$B$6,$E$2:$F$17,2,FALSE),"--")&amp;" "," "&amp;$C74&amp;" "))),$A74,""))</f>
      </c>
      <c r="I74" s="52">
        <f>IF($A74="","",IF(OR($C74="alle",ISNUMBER(SEARCH(" "&amp;"HE"&amp;" "," "&amp;$C74&amp;" "))),$A74,""))</f>
      </c>
      <c r="J74" s="52">
        <f>IF(ISNUMBER(H74),IF(YEAR(H74)=Einstellungen!$B$5,H74,""),"")</f>
      </c>
    </row>
    <row r="75" spans="1:10" x14ac:dyDescent="0.25">
      <c r="A75" s="51">
        <v>47604</v>
      </c>
      <c r="B75" s="9" t="s">
        <v>85</v>
      </c>
      <c r="C75" s="9" t="s">
        <v>68</v>
      </c>
      <c r="H75" s="52">
        <f>IF($A75="","",IF(OR($C75="alle",ISNUMBER(SEARCH(" "&amp;IFERROR(VLOOKUP(Einstellungen!$B$6,$E$2:$F$17,2,FALSE),"--")&amp;" "," "&amp;$C75&amp;" "))),$A75,""))</f>
      </c>
      <c r="I75" s="52">
        <f>IF($A75="","",IF(OR($C75="alle",ISNUMBER(SEARCH(" "&amp;"HE"&amp;" "," "&amp;$C75&amp;" "))),$A75,""))</f>
      </c>
      <c r="J75" s="52">
        <f>IF(ISNUMBER(H75),IF(YEAR(H75)=Einstellungen!$B$5,H75,""),"")</f>
      </c>
    </row>
    <row r="76" spans="1:10" x14ac:dyDescent="0.25">
      <c r="A76" s="51">
        <v>47633</v>
      </c>
      <c r="B76" s="9" t="s">
        <v>88</v>
      </c>
      <c r="C76" s="9" t="s">
        <v>68</v>
      </c>
      <c r="H76" s="52">
        <f>IF($A76="","",IF(OR($C76="alle",ISNUMBER(SEARCH(" "&amp;IFERROR(VLOOKUP(Einstellungen!$B$6,$E$2:$F$17,2,FALSE),"--")&amp;" "," "&amp;$C76&amp;" "))),$A76,""))</f>
      </c>
      <c r="I76" s="52">
        <f>IF($A76="","",IF(OR($C76="alle",ISNUMBER(SEARCH(" "&amp;"HE"&amp;" "," "&amp;$C76&amp;" "))),$A76,""))</f>
      </c>
      <c r="J76" s="52">
        <f>IF(ISNUMBER(H76),IF(YEAR(H76)=Einstellungen!$B$5,H76,""),"")</f>
      </c>
    </row>
    <row r="77" spans="1:10" x14ac:dyDescent="0.25">
      <c r="A77" s="51">
        <v>47644</v>
      </c>
      <c r="B77" s="9" t="s">
        <v>90</v>
      </c>
      <c r="C77" s="9" t="s">
        <v>68</v>
      </c>
      <c r="H77" s="52">
        <f>IF($A77="","",IF(OR($C77="alle",ISNUMBER(SEARCH(" "&amp;IFERROR(VLOOKUP(Einstellungen!$B$6,$E$2:$F$17,2,FALSE),"--")&amp;" "," "&amp;$C77&amp;" "))),$A77,""))</f>
      </c>
      <c r="I77" s="52">
        <f>IF($A77="","",IF(OR($C77="alle",ISNUMBER(SEARCH(" "&amp;"HE"&amp;" "," "&amp;$C77&amp;" "))),$A77,""))</f>
      </c>
      <c r="J77" s="52">
        <f>IF(ISNUMBER(H77),IF(YEAR(H77)=Einstellungen!$B$5,H77,""),"")</f>
      </c>
    </row>
    <row r="78" spans="1:10" x14ac:dyDescent="0.25">
      <c r="A78" s="51">
        <v>47654</v>
      </c>
      <c r="B78" s="9" t="s">
        <v>93</v>
      </c>
      <c r="C78" s="9" t="s">
        <v>94</v>
      </c>
      <c r="H78" s="52">
        <f>IF($A78="","",IF(OR($C78="alle",ISNUMBER(SEARCH(" "&amp;IFERROR(VLOOKUP(Einstellungen!$B$6,$E$2:$F$17,2,FALSE),"--")&amp;" "," "&amp;$C78&amp;" "))),$A78,""))</f>
      </c>
      <c r="I78" s="52">
        <f>IF($A78="","",IF(OR($C78="alle",ISNUMBER(SEARCH(" "&amp;"HE"&amp;" "," "&amp;$C78&amp;" "))),$A78,""))</f>
      </c>
      <c r="J78" s="52">
        <f>IF(ISNUMBER(H78),IF(YEAR(H78)=Einstellungen!$B$5,H78,""),"")</f>
      </c>
    </row>
    <row r="79" spans="1:10" x14ac:dyDescent="0.25">
      <c r="A79" s="51">
        <v>47710</v>
      </c>
      <c r="B79" s="9" t="s">
        <v>97</v>
      </c>
      <c r="C79" s="9" t="s">
        <v>98</v>
      </c>
      <c r="H79" s="52">
        <f>IF($A79="","",IF(OR($C79="alle",ISNUMBER(SEARCH(" "&amp;IFERROR(VLOOKUP(Einstellungen!$B$6,$E$2:$F$17,2,FALSE),"--")&amp;" "," "&amp;$C79&amp;" "))),$A79,""))</f>
      </c>
      <c r="I79" s="52">
        <f>IF($A79="","",IF(OR($C79="alle",ISNUMBER(SEARCH(" "&amp;"HE"&amp;" "," "&amp;$C79&amp;" "))),$A79,""))</f>
      </c>
      <c r="J79" s="52">
        <f>IF(ISNUMBER(H79),IF(YEAR(H79)=Einstellungen!$B$5,H79,""),"")</f>
      </c>
    </row>
    <row r="80" spans="1:10" x14ac:dyDescent="0.25">
      <c r="A80" s="51">
        <v>47746</v>
      </c>
      <c r="B80" s="9" t="s">
        <v>101</v>
      </c>
      <c r="C80" s="9" t="s">
        <v>102</v>
      </c>
      <c r="H80" s="52">
        <f>IF($A80="","",IF(OR($C80="alle",ISNUMBER(SEARCH(" "&amp;IFERROR(VLOOKUP(Einstellungen!$B$6,$E$2:$F$17,2,FALSE),"--")&amp;" "," "&amp;$C80&amp;" "))),$A80,""))</f>
      </c>
      <c r="I80" s="52">
        <f>IF($A80="","",IF(OR($C80="alle",ISNUMBER(SEARCH(" "&amp;"HE"&amp;" "," "&amp;$C80&amp;" "))),$A80,""))</f>
      </c>
      <c r="J80" s="52">
        <f>IF(ISNUMBER(H80),IF(YEAR(H80)=Einstellungen!$B$5,H80,""),"")</f>
      </c>
    </row>
    <row r="81" spans="1:10" x14ac:dyDescent="0.25">
      <c r="A81" s="51">
        <v>47759</v>
      </c>
      <c r="B81" s="9" t="s">
        <v>105</v>
      </c>
      <c r="C81" s="9" t="s">
        <v>68</v>
      </c>
      <c r="H81" s="52">
        <f>IF($A81="","",IF(OR($C81="alle",ISNUMBER(SEARCH(" "&amp;IFERROR(VLOOKUP(Einstellungen!$B$6,$E$2:$F$17,2,FALSE),"--")&amp;" "," "&amp;$C81&amp;" "))),$A81,""))</f>
      </c>
      <c r="I81" s="52">
        <f>IF($A81="","",IF(OR($C81="alle",ISNUMBER(SEARCH(" "&amp;"HE"&amp;" "," "&amp;$C81&amp;" "))),$A81,""))</f>
      </c>
      <c r="J81" s="52">
        <f>IF(ISNUMBER(H81),IF(YEAR(H81)=Einstellungen!$B$5,H81,""),"")</f>
      </c>
    </row>
    <row r="82" spans="1:10" x14ac:dyDescent="0.25">
      <c r="A82" s="51">
        <v>47787</v>
      </c>
      <c r="B82" s="9" t="s">
        <v>107</v>
      </c>
      <c r="C82" s="9" t="s">
        <v>108</v>
      </c>
      <c r="H82" s="52">
        <f>IF($A82="","",IF(OR($C82="alle",ISNUMBER(SEARCH(" "&amp;IFERROR(VLOOKUP(Einstellungen!$B$6,$E$2:$F$17,2,FALSE),"--")&amp;" "," "&amp;$C82&amp;" "))),$A82,""))</f>
      </c>
      <c r="I82" s="52">
        <f>IF($A82="","",IF(OR($C82="alle",ISNUMBER(SEARCH(" "&amp;"HE"&amp;" "," "&amp;$C82&amp;" "))),$A82,""))</f>
      </c>
      <c r="J82" s="52">
        <f>IF(ISNUMBER(H82),IF(YEAR(H82)=Einstellungen!$B$5,H82,""),"")</f>
      </c>
    </row>
    <row r="83" spans="1:10" x14ac:dyDescent="0.25">
      <c r="A83" s="51">
        <v>47788</v>
      </c>
      <c r="B83" s="9" t="s">
        <v>111</v>
      </c>
      <c r="C83" s="9" t="s">
        <v>112</v>
      </c>
      <c r="H83" s="52">
        <f>IF($A83="","",IF(OR($C83="alle",ISNUMBER(SEARCH(" "&amp;IFERROR(VLOOKUP(Einstellungen!$B$6,$E$2:$F$17,2,FALSE),"--")&amp;" "," "&amp;$C83&amp;" "))),$A83,""))</f>
      </c>
      <c r="I83" s="52">
        <f>IF($A83="","",IF(OR($C83="alle",ISNUMBER(SEARCH(" "&amp;"HE"&amp;" "," "&amp;$C83&amp;" "))),$A83,""))</f>
      </c>
      <c r="J83" s="52">
        <f>IF(ISNUMBER(H83),IF(YEAR(H83)=Einstellungen!$B$5,H83,""),"")</f>
      </c>
    </row>
    <row r="84" spans="1:10" x14ac:dyDescent="0.25">
      <c r="A84" s="51">
        <v>47807</v>
      </c>
      <c r="B84" s="9" t="s">
        <v>115</v>
      </c>
      <c r="C84" s="9" t="s">
        <v>110</v>
      </c>
      <c r="H84" s="52">
        <f>IF($A84="","",IF(OR($C84="alle",ISNUMBER(SEARCH(" "&amp;IFERROR(VLOOKUP(Einstellungen!$B$6,$E$2:$F$17,2,FALSE),"--")&amp;" "," "&amp;$C84&amp;" "))),$A84,""))</f>
      </c>
      <c r="I84" s="52">
        <f>IF($A84="","",IF(OR($C84="alle",ISNUMBER(SEARCH(" "&amp;"HE"&amp;" "," "&amp;$C84&amp;" "))),$A84,""))</f>
      </c>
      <c r="J84" s="52">
        <f>IF(ISNUMBER(H84),IF(YEAR(H84)=Einstellungen!$B$5,H84,""),"")</f>
      </c>
    </row>
    <row r="85" spans="1:10" x14ac:dyDescent="0.25">
      <c r="A85" s="51">
        <v>47842</v>
      </c>
      <c r="B85" s="9" t="s">
        <v>118</v>
      </c>
      <c r="C85" s="9" t="s">
        <v>68</v>
      </c>
      <c r="H85" s="52">
        <f>IF($A85="","",IF(OR($C85="alle",ISNUMBER(SEARCH(" "&amp;IFERROR(VLOOKUP(Einstellungen!$B$6,$E$2:$F$17,2,FALSE),"--")&amp;" "," "&amp;$C85&amp;" "))),$A85,""))</f>
      </c>
      <c r="I85" s="52">
        <f>IF($A85="","",IF(OR($C85="alle",ISNUMBER(SEARCH(" "&amp;"HE"&amp;" "," "&amp;$C85&amp;" "))),$A85,""))</f>
      </c>
      <c r="J85" s="52">
        <f>IF(ISNUMBER(H85),IF(YEAR(H85)=Einstellungen!$B$5,H85,""),"")</f>
      </c>
    </row>
    <row r="86" spans="1:10" x14ac:dyDescent="0.25">
      <c r="A86" s="51">
        <v>47843</v>
      </c>
      <c r="B86" s="9" t="s">
        <v>120</v>
      </c>
      <c r="C86" s="9" t="s">
        <v>68</v>
      </c>
      <c r="H86" s="52">
        <f>IF($A86="","",IF(OR($C86="alle",ISNUMBER(SEARCH(" "&amp;IFERROR(VLOOKUP(Einstellungen!$B$6,$E$2:$F$17,2,FALSE),"--")&amp;" "," "&amp;$C86&amp;" "))),$A86,""))</f>
      </c>
      <c r="I86" s="52">
        <f>IF($A86="","",IF(OR($C86="alle",ISNUMBER(SEARCH(" "&amp;"HE"&amp;" "," "&amp;$C86&amp;" "))),$A86,""))</f>
      </c>
      <c r="J86" s="52">
        <f>IF(ISNUMBER(H86),IF(YEAR(H86)=Einstellungen!$B$5,H86,""),"")</f>
      </c>
    </row>
    <row r="87" spans="8:10" x14ac:dyDescent="0.25">
      <c r="H87" s="52">
        <f>IF($A87="","",IF(OR($C87="alle",ISNUMBER(SEARCH(" "&amp;IFERROR(VLOOKUP(Einstellungen!$B$6,$E$2:$F$17,2,FALSE),"--")&amp;" "," "&amp;$C87&amp;" "))),$A87,""))</f>
      </c>
      <c r="I87" s="52">
        <f>IF($A87="","",IF(OR($C87="alle",ISNUMBER(SEARCH(" "&amp;"HE"&amp;" "," "&amp;$C87&amp;" "))),$A87,""))</f>
      </c>
      <c r="J87" s="52">
        <f>IF(ISNUMBER(H87),IF(YEAR(H87)=Einstellungen!$B$5,H87,""),"")</f>
      </c>
    </row>
    <row r="88" ht="16" customHeight="1" spans="1:10" x14ac:dyDescent="0.25">
      <c r="A88" s="20" t="s">
        <v>121</v>
      </c>
      <c r="B88" s="20"/>
      <c r="C88" s="20"/>
      <c r="H88" s="52">
        <f>IF($A88="","",IF(OR($C88="alle",ISNUMBER(SEARCH(" "&amp;IFERROR(VLOOKUP(Einstellungen!$B$6,$E$2:$F$17,2,FALSE),"--")&amp;" "," "&amp;$C88&amp;" "))),$A88,""))</f>
      </c>
      <c r="I88" s="52">
        <f>IF($A88="","",IF(OR($C88="alle",ISNUMBER(SEARCH(" "&amp;"HE"&amp;" "," "&amp;$C88&amp;" "))),$A88,""))</f>
      </c>
      <c r="J88" s="52">
        <f>IF(ISNUMBER(H88),IF(YEAR(H88)=Einstellungen!$B$5,H88,""),"")</f>
      </c>
    </row>
    <row r="89" ht="16" customHeight="1" spans="1:10" x14ac:dyDescent="0.25">
      <c r="A89" s="20"/>
      <c r="B89" s="20"/>
      <c r="C89" s="20"/>
      <c r="H89" s="52">
        <f>IF($A89="","",IF(OR($C89="alle",ISNUMBER(SEARCH(" "&amp;IFERROR(VLOOKUP(Einstellungen!$B$6,$E$2:$F$17,2,FALSE),"--")&amp;" "," "&amp;$C89&amp;" "))),$A89,""))</f>
      </c>
      <c r="I89" s="52">
        <f>IF($A89="","",IF(OR($C89="alle",ISNUMBER(SEARCH(" "&amp;"HE"&amp;" "," "&amp;$C89&amp;" "))),$A89,""))</f>
      </c>
      <c r="J89" s="52">
        <f>IF(ISNUMBER(H89),IF(YEAR(H89)=Einstellungen!$B$5,H89,""),"")</f>
      </c>
    </row>
    <row r="90" ht="16" customHeight="1" spans="1:10" x14ac:dyDescent="0.25">
      <c r="A90" s="20"/>
      <c r="B90" s="20"/>
      <c r="C90" s="20"/>
      <c r="H90" s="52">
        <f>IF($A90="","",IF(OR($C90="alle",ISNUMBER(SEARCH(" "&amp;IFERROR(VLOOKUP(Einstellungen!$B$6,$E$2:$F$17,2,FALSE),"--")&amp;" "," "&amp;$C90&amp;" "))),$A90,""))</f>
      </c>
      <c r="I90" s="52">
        <f>IF($A90="","",IF(OR($C90="alle",ISNUMBER(SEARCH(" "&amp;"HE"&amp;" "," "&amp;$C90&amp;" "))),$A90,""))</f>
      </c>
      <c r="J90" s="52">
        <f>IF(ISNUMBER(H90),IF(YEAR(H90)=Einstellungen!$B$5,H90,""),"")</f>
      </c>
    </row>
    <row r="91" ht="16" customHeight="1" spans="1:10" x14ac:dyDescent="0.25">
      <c r="A91" s="20"/>
      <c r="B91" s="20"/>
      <c r="C91" s="20"/>
      <c r="H91" s="52">
        <f>IF($A91="","",IF(OR($C91="alle",ISNUMBER(SEARCH(" "&amp;IFERROR(VLOOKUP(Einstellungen!$B$6,$E$2:$F$17,2,FALSE),"--")&amp;" "," "&amp;$C91&amp;" "))),$A91,""))</f>
      </c>
      <c r="I91" s="52">
        <f>IF($A91="","",IF(OR($C91="alle",ISNUMBER(SEARCH(" "&amp;"HE"&amp;" "," "&amp;$C91&amp;" "))),$A91,""))</f>
      </c>
      <c r="J91" s="52">
        <f>IF(ISNUMBER(H91),IF(YEAR(H91)=Einstellungen!$B$5,H91,""),"")</f>
      </c>
    </row>
    <row r="92" spans="8:10" x14ac:dyDescent="0.25">
      <c r="H92" s="52">
        <f>IF($A92="","",IF(OR($C92="alle",ISNUMBER(SEARCH(" "&amp;IFERROR(VLOOKUP(Einstellungen!$B$6,$E$2:$F$17,2,FALSE),"--")&amp;" "," "&amp;$C92&amp;" "))),$A92,""))</f>
      </c>
      <c r="I92" s="52">
        <f>IF($A92="","",IF(OR($C92="alle",ISNUMBER(SEARCH(" "&amp;"HE"&amp;" "," "&amp;$C92&amp;" "))),$A92,""))</f>
      </c>
      <c r="J92" s="52">
        <f>IF(ISNUMBER(H92),IF(YEAR(H92)=Einstellungen!$B$5,H92,""),"")</f>
      </c>
    </row>
    <row r="93" spans="8:10" x14ac:dyDescent="0.25">
      <c r="H93" s="52">
        <f>IF($A93="","",IF(OR($C93="alle",ISNUMBER(SEARCH(" "&amp;IFERROR(VLOOKUP(Einstellungen!$B$6,$E$2:$F$17,2,FALSE),"--")&amp;" "," "&amp;$C93&amp;" "))),$A93,""))</f>
      </c>
      <c r="I93" s="52">
        <f>IF($A93="","",IF(OR($C93="alle",ISNUMBER(SEARCH(" "&amp;"HE"&amp;" "," "&amp;$C93&amp;" "))),$A93,""))</f>
      </c>
      <c r="J93" s="52">
        <f>IF(ISNUMBER(H93),IF(YEAR(H93)=Einstellungen!$B$5,H93,""),"")</f>
      </c>
    </row>
    <row r="94" spans="8:10" x14ac:dyDescent="0.25">
      <c r="H94" s="52">
        <f>IF($A94="","",IF(OR($C94="alle",ISNUMBER(SEARCH(" "&amp;IFERROR(VLOOKUP(Einstellungen!$B$6,$E$2:$F$17,2,FALSE),"--")&amp;" "," "&amp;$C94&amp;" "))),$A94,""))</f>
      </c>
      <c r="I94" s="52">
        <f>IF($A94="","",IF(OR($C94="alle",ISNUMBER(SEARCH(" "&amp;"HE"&amp;" "," "&amp;$C94&amp;" "))),$A94,""))</f>
      </c>
      <c r="J94" s="52">
        <f>IF(ISNUMBER(H94),IF(YEAR(H94)=Einstellungen!$B$5,H94,""),"")</f>
      </c>
    </row>
    <row r="95" spans="8:10" x14ac:dyDescent="0.25">
      <c r="H95" s="52">
        <f>IF($A95="","",IF(OR($C95="alle",ISNUMBER(SEARCH(" "&amp;IFERROR(VLOOKUP(Einstellungen!$B$6,$E$2:$F$17,2,FALSE),"--")&amp;" "," "&amp;$C95&amp;" "))),$A95,""))</f>
      </c>
      <c r="I95" s="52">
        <f>IF($A95="","",IF(OR($C95="alle",ISNUMBER(SEARCH(" "&amp;"HE"&amp;" "," "&amp;$C95&amp;" "))),$A95,""))</f>
      </c>
      <c r="J95" s="52">
        <f>IF(ISNUMBER(H95),IF(YEAR(H95)=Einstellungen!$B$5,H95,""),"")</f>
      </c>
    </row>
    <row r="96" spans="8:10" x14ac:dyDescent="0.25">
      <c r="H96" s="52">
        <f>IF($A96="","",IF(OR($C96="alle",ISNUMBER(SEARCH(" "&amp;IFERROR(VLOOKUP(Einstellungen!$B$6,$E$2:$F$17,2,FALSE),"--")&amp;" "," "&amp;$C96&amp;" "))),$A96,""))</f>
      </c>
      <c r="I96" s="52">
        <f>IF($A96="","",IF(OR($C96="alle",ISNUMBER(SEARCH(" "&amp;"HE"&amp;" "," "&amp;$C96&amp;" "))),$A96,""))</f>
      </c>
      <c r="J96" s="52">
        <f>IF(ISNUMBER(H96),IF(YEAR(H96)=Einstellungen!$B$5,H96,""),"")</f>
      </c>
    </row>
    <row r="97" spans="8:10" x14ac:dyDescent="0.25">
      <c r="H97" s="52">
        <f>IF($A97="","",IF(OR($C97="alle",ISNUMBER(SEARCH(" "&amp;IFERROR(VLOOKUP(Einstellungen!$B$6,$E$2:$F$17,2,FALSE),"--")&amp;" "," "&amp;$C97&amp;" "))),$A97,""))</f>
      </c>
      <c r="I97" s="52">
        <f>IF($A97="","",IF(OR($C97="alle",ISNUMBER(SEARCH(" "&amp;"HE"&amp;" "," "&amp;$C97&amp;" "))),$A97,""))</f>
      </c>
      <c r="J97" s="52">
        <f>IF(ISNUMBER(H97),IF(YEAR(H97)=Einstellungen!$B$5,H97,""),"")</f>
      </c>
    </row>
    <row r="98" spans="8:10" x14ac:dyDescent="0.25">
      <c r="H98" s="52">
        <f>IF($A98="","",IF(OR($C98="alle",ISNUMBER(SEARCH(" "&amp;IFERROR(VLOOKUP(Einstellungen!$B$6,$E$2:$F$17,2,FALSE),"--")&amp;" "," "&amp;$C98&amp;" "))),$A98,""))</f>
      </c>
      <c r="I98" s="52">
        <f>IF($A98="","",IF(OR($C98="alle",ISNUMBER(SEARCH(" "&amp;"HE"&amp;" "," "&amp;$C98&amp;" "))),$A98,""))</f>
      </c>
      <c r="J98" s="52">
        <f>IF(ISNUMBER(H98),IF(YEAR(H98)=Einstellungen!$B$5,H98,""),"")</f>
      </c>
    </row>
    <row r="99" spans="8:10" x14ac:dyDescent="0.25">
      <c r="H99" s="52">
        <f>IF($A99="","",IF(OR($C99="alle",ISNUMBER(SEARCH(" "&amp;IFERROR(VLOOKUP(Einstellungen!$B$6,$E$2:$F$17,2,FALSE),"--")&amp;" "," "&amp;$C99&amp;" "))),$A99,""))</f>
      </c>
      <c r="I99" s="52">
        <f>IF($A99="","",IF(OR($C99="alle",ISNUMBER(SEARCH(" "&amp;"HE"&amp;" "," "&amp;$C99&amp;" "))),$A99,""))</f>
      </c>
      <c r="J99" s="52">
        <f>IF(ISNUMBER(H99),IF(YEAR(H99)=Einstellungen!$B$5,H99,""),"")</f>
      </c>
    </row>
    <row r="100" spans="8:10" x14ac:dyDescent="0.25">
      <c r="H100" s="52">
        <f>IF($A100="","",IF(OR($C100="alle",ISNUMBER(SEARCH(" "&amp;IFERROR(VLOOKUP(Einstellungen!$B$6,$E$2:$F$17,2,FALSE),"--")&amp;" "," "&amp;$C100&amp;" "))),$A100,""))</f>
      </c>
      <c r="I100" s="52">
        <f>IF($A100="","",IF(OR($C100="alle",ISNUMBER(SEARCH(" "&amp;"HE"&amp;" "," "&amp;$C100&amp;" "))),$A100,""))</f>
      </c>
      <c r="J100" s="52">
        <f>IF(ISNUMBER(H100),IF(YEAR(H100)=Einstellungen!$B$5,H100,""),"")</f>
      </c>
    </row>
    <row r="101" spans="8:10" x14ac:dyDescent="0.25">
      <c r="H101" s="52">
        <f>IF($A101="","",IF(OR($C101="alle",ISNUMBER(SEARCH(" "&amp;IFERROR(VLOOKUP(Einstellungen!$B$6,$E$2:$F$17,2,FALSE),"--")&amp;" "," "&amp;$C101&amp;" "))),$A101,""))</f>
      </c>
      <c r="I101" s="52">
        <f>IF($A101="","",IF(OR($C101="alle",ISNUMBER(SEARCH(" "&amp;"HE"&amp;" "," "&amp;$C101&amp;" "))),$A101,""))</f>
      </c>
      <c r="J101" s="52">
        <f>IF(ISNUMBER(H101),IF(YEAR(H101)=Einstellungen!$B$5,H101,""),"")</f>
      </c>
    </row>
    <row r="102" spans="8:10" x14ac:dyDescent="0.25">
      <c r="H102" s="52">
        <f>IF($A102="","",IF(OR($C102="alle",ISNUMBER(SEARCH(" "&amp;IFERROR(VLOOKUP(Einstellungen!$B$6,$E$2:$F$17,2,FALSE),"--")&amp;" "," "&amp;$C102&amp;" "))),$A102,""))</f>
      </c>
      <c r="I102" s="52">
        <f>IF($A102="","",IF(OR($C102="alle",ISNUMBER(SEARCH(" "&amp;"HE"&amp;" "," "&amp;$C102&amp;" "))),$A102,""))</f>
      </c>
      <c r="J102" s="52">
        <f>IF(ISNUMBER(H102),IF(YEAR(H102)=Einstellungen!$B$5,H102,""),"")</f>
      </c>
    </row>
    <row r="103" spans="8:10" x14ac:dyDescent="0.25">
      <c r="H103" s="52">
        <f>IF($A103="","",IF(OR($C103="alle",ISNUMBER(SEARCH(" "&amp;IFERROR(VLOOKUP(Einstellungen!$B$6,$E$2:$F$17,2,FALSE),"--")&amp;" "," "&amp;$C103&amp;" "))),$A103,""))</f>
      </c>
      <c r="I103" s="52">
        <f>IF($A103="","",IF(OR($C103="alle",ISNUMBER(SEARCH(" "&amp;"HE"&amp;" "," "&amp;$C103&amp;" "))),$A103,""))</f>
      </c>
      <c r="J103" s="52">
        <f>IF(ISNUMBER(H103),IF(YEAR(H103)=Einstellungen!$B$5,H103,""),"")</f>
      </c>
    </row>
    <row r="104" spans="8:10" x14ac:dyDescent="0.25">
      <c r="H104" s="52">
        <f>IF($A104="","",IF(OR($C104="alle",ISNUMBER(SEARCH(" "&amp;IFERROR(VLOOKUP(Einstellungen!$B$6,$E$2:$F$17,2,FALSE),"--")&amp;" "," "&amp;$C104&amp;" "))),$A104,""))</f>
      </c>
      <c r="I104" s="52">
        <f>IF($A104="","",IF(OR($C104="alle",ISNUMBER(SEARCH(" "&amp;"HE"&amp;" "," "&amp;$C104&amp;" "))),$A104,""))</f>
      </c>
      <c r="J104" s="52">
        <f>IF(ISNUMBER(H104),IF(YEAR(H104)=Einstellungen!$B$5,H104,""),"")</f>
      </c>
    </row>
    <row r="105" spans="8:10" x14ac:dyDescent="0.25">
      <c r="H105" s="52">
        <f>IF($A105="","",IF(OR($C105="alle",ISNUMBER(SEARCH(" "&amp;IFERROR(VLOOKUP(Einstellungen!$B$6,$E$2:$F$17,2,FALSE),"--")&amp;" "," "&amp;$C105&amp;" "))),$A105,""))</f>
      </c>
      <c r="I105" s="52">
        <f>IF($A105="","",IF(OR($C105="alle",ISNUMBER(SEARCH(" "&amp;"HE"&amp;" "," "&amp;$C105&amp;" "))),$A105,""))</f>
      </c>
      <c r="J105" s="52">
        <f>IF(ISNUMBER(H105),IF(YEAR(H105)=Einstellungen!$B$5,H105,""),"")</f>
      </c>
    </row>
    <row r="106" spans="8:10" x14ac:dyDescent="0.25">
      <c r="H106" s="52">
        <f>IF($A106="","",IF(OR($C106="alle",ISNUMBER(SEARCH(" "&amp;IFERROR(VLOOKUP(Einstellungen!$B$6,$E$2:$F$17,2,FALSE),"--")&amp;" "," "&amp;$C106&amp;" "))),$A106,""))</f>
      </c>
      <c r="I106" s="52">
        <f>IF($A106="","",IF(OR($C106="alle",ISNUMBER(SEARCH(" "&amp;"HE"&amp;" "," "&amp;$C106&amp;" "))),$A106,""))</f>
      </c>
      <c r="J106" s="52">
        <f>IF(ISNUMBER(H106),IF(YEAR(H106)=Einstellungen!$B$5,H106,""),"")</f>
      </c>
    </row>
    <row r="107" spans="8:10" x14ac:dyDescent="0.25">
      <c r="H107" s="52">
        <f>IF($A107="","",IF(OR($C107="alle",ISNUMBER(SEARCH(" "&amp;IFERROR(VLOOKUP(Einstellungen!$B$6,$E$2:$F$17,2,FALSE),"--")&amp;" "," "&amp;$C107&amp;" "))),$A107,""))</f>
      </c>
      <c r="I107" s="52">
        <f>IF($A107="","",IF(OR($C107="alle",ISNUMBER(SEARCH(" "&amp;"HE"&amp;" "," "&amp;$C107&amp;" "))),$A107,""))</f>
      </c>
      <c r="J107" s="52">
        <f>IF(ISNUMBER(H107),IF(YEAR(H107)=Einstellungen!$B$5,H107,""),"")</f>
      </c>
    </row>
    <row r="108" spans="8:10" x14ac:dyDescent="0.25">
      <c r="H108" s="52">
        <f>IF($A108="","",IF(OR($C108="alle",ISNUMBER(SEARCH(" "&amp;IFERROR(VLOOKUP(Einstellungen!$B$6,$E$2:$F$17,2,FALSE),"--")&amp;" "," "&amp;$C108&amp;" "))),$A108,""))</f>
      </c>
      <c r="I108" s="52">
        <f>IF($A108="","",IF(OR($C108="alle",ISNUMBER(SEARCH(" "&amp;"HE"&amp;" "," "&amp;$C108&amp;" "))),$A108,""))</f>
      </c>
      <c r="J108" s="52">
        <f>IF(ISNUMBER(H108),IF(YEAR(H108)=Einstellungen!$B$5,H108,""),"")</f>
      </c>
    </row>
    <row r="109" spans="8:10" x14ac:dyDescent="0.25">
      <c r="H109" s="52">
        <f>IF($A109="","",IF(OR($C109="alle",ISNUMBER(SEARCH(" "&amp;IFERROR(VLOOKUP(Einstellungen!$B$6,$E$2:$F$17,2,FALSE),"--")&amp;" "," "&amp;$C109&amp;" "))),$A109,""))</f>
      </c>
      <c r="I109" s="52">
        <f>IF($A109="","",IF(OR($C109="alle",ISNUMBER(SEARCH(" "&amp;"HE"&amp;" "," "&amp;$C109&amp;" "))),$A109,""))</f>
      </c>
      <c r="J109" s="52">
        <f>IF(ISNUMBER(H109),IF(YEAR(H109)=Einstellungen!$B$5,H109,""),"")</f>
      </c>
    </row>
    <row r="110" spans="8:10" x14ac:dyDescent="0.25">
      <c r="H110" s="52">
        <f>IF($A110="","",IF(OR($C110="alle",ISNUMBER(SEARCH(" "&amp;IFERROR(VLOOKUP(Einstellungen!$B$6,$E$2:$F$17,2,FALSE),"--")&amp;" "," "&amp;$C110&amp;" "))),$A110,""))</f>
      </c>
      <c r="I110" s="52">
        <f>IF($A110="","",IF(OR($C110="alle",ISNUMBER(SEARCH(" "&amp;"HE"&amp;" "," "&amp;$C110&amp;" "))),$A110,""))</f>
      </c>
      <c r="J110" s="52">
        <f>IF(ISNUMBER(H110),IF(YEAR(H110)=Einstellungen!$B$5,H110,""),"")</f>
      </c>
    </row>
    <row r="111" spans="8:10" x14ac:dyDescent="0.25">
      <c r="H111" s="52">
        <f>IF($A111="","",IF(OR($C111="alle",ISNUMBER(SEARCH(" "&amp;IFERROR(VLOOKUP(Einstellungen!$B$6,$E$2:$F$17,2,FALSE),"--")&amp;" "," "&amp;$C111&amp;" "))),$A111,""))</f>
      </c>
      <c r="I111" s="52">
        <f>IF($A111="","",IF(OR($C111="alle",ISNUMBER(SEARCH(" "&amp;"HE"&amp;" "," "&amp;$C111&amp;" "))),$A111,""))</f>
      </c>
      <c r="J111" s="52">
        <f>IF(ISNUMBER(H111),IF(YEAR(H111)=Einstellungen!$B$5,H111,""),"")</f>
      </c>
    </row>
    <row r="112" spans="8:10" x14ac:dyDescent="0.25">
      <c r="H112" s="52">
        <f>IF($A112="","",IF(OR($C112="alle",ISNUMBER(SEARCH(" "&amp;IFERROR(VLOOKUP(Einstellungen!$B$6,$E$2:$F$17,2,FALSE),"--")&amp;" "," "&amp;$C112&amp;" "))),$A112,""))</f>
      </c>
      <c r="I112" s="52">
        <f>IF($A112="","",IF(OR($C112="alle",ISNUMBER(SEARCH(" "&amp;"HE"&amp;" "," "&amp;$C112&amp;" "))),$A112,""))</f>
      </c>
      <c r="J112" s="52">
        <f>IF(ISNUMBER(H112),IF(YEAR(H112)=Einstellungen!$B$5,H112,""),"")</f>
      </c>
    </row>
    <row r="113" spans="8:10" x14ac:dyDescent="0.25">
      <c r="H113" s="52">
        <f>IF($A113="","",IF(OR($C113="alle",ISNUMBER(SEARCH(" "&amp;IFERROR(VLOOKUP(Einstellungen!$B$6,$E$2:$F$17,2,FALSE),"--")&amp;" "," "&amp;$C113&amp;" "))),$A113,""))</f>
      </c>
      <c r="I113" s="52">
        <f>IF($A113="","",IF(OR($C113="alle",ISNUMBER(SEARCH(" "&amp;"HE"&amp;" "," "&amp;$C113&amp;" "))),$A113,""))</f>
      </c>
      <c r="J113" s="52">
        <f>IF(ISNUMBER(H113),IF(YEAR(H113)=Einstellungen!$B$5,H113,""),"")</f>
      </c>
    </row>
    <row r="114" spans="8:10" x14ac:dyDescent="0.25">
      <c r="H114" s="52">
        <f>IF($A114="","",IF(OR($C114="alle",ISNUMBER(SEARCH(" "&amp;IFERROR(VLOOKUP(Einstellungen!$B$6,$E$2:$F$17,2,FALSE),"--")&amp;" "," "&amp;$C114&amp;" "))),$A114,""))</f>
      </c>
      <c r="I114" s="52">
        <f>IF($A114="","",IF(OR($C114="alle",ISNUMBER(SEARCH(" "&amp;"HE"&amp;" "," "&amp;$C114&amp;" "))),$A114,""))</f>
      </c>
      <c r="J114" s="52">
        <f>IF(ISNUMBER(H114),IF(YEAR(H114)=Einstellungen!$B$5,H114,""),"")</f>
      </c>
    </row>
    <row r="115" spans="8:10" x14ac:dyDescent="0.25">
      <c r="H115" s="52">
        <f>IF($A115="","",IF(OR($C115="alle",ISNUMBER(SEARCH(" "&amp;IFERROR(VLOOKUP(Einstellungen!$B$6,$E$2:$F$17,2,FALSE),"--")&amp;" "," "&amp;$C115&amp;" "))),$A115,""))</f>
      </c>
      <c r="I115" s="52">
        <f>IF($A115="","",IF(OR($C115="alle",ISNUMBER(SEARCH(" "&amp;"HE"&amp;" "," "&amp;$C115&amp;" "))),$A115,""))</f>
      </c>
      <c r="J115" s="52">
        <f>IF(ISNUMBER(H115),IF(YEAR(H115)=Einstellungen!$B$5,H115,""),"")</f>
      </c>
    </row>
    <row r="116" spans="8:10" x14ac:dyDescent="0.25">
      <c r="H116" s="52">
        <f>IF($A116="","",IF(OR($C116="alle",ISNUMBER(SEARCH(" "&amp;IFERROR(VLOOKUP(Einstellungen!$B$6,$E$2:$F$17,2,FALSE),"--")&amp;" "," "&amp;$C116&amp;" "))),$A116,""))</f>
      </c>
      <c r="I116" s="52">
        <f>IF($A116="","",IF(OR($C116="alle",ISNUMBER(SEARCH(" "&amp;"HE"&amp;" "," "&amp;$C116&amp;" "))),$A116,""))</f>
      </c>
      <c r="J116" s="52">
        <f>IF(ISNUMBER(H116),IF(YEAR(H116)=Einstellungen!$B$5,H116,""),"")</f>
      </c>
    </row>
    <row r="117" spans="8:10" x14ac:dyDescent="0.25">
      <c r="H117" s="52">
        <f>IF($A117="","",IF(OR($C117="alle",ISNUMBER(SEARCH(" "&amp;IFERROR(VLOOKUP(Einstellungen!$B$6,$E$2:$F$17,2,FALSE),"--")&amp;" "," "&amp;$C117&amp;" "))),$A117,""))</f>
      </c>
      <c r="I117" s="52">
        <f>IF($A117="","",IF(OR($C117="alle",ISNUMBER(SEARCH(" "&amp;"HE"&amp;" "," "&amp;$C117&amp;" "))),$A117,""))</f>
      </c>
      <c r="J117" s="52">
        <f>IF(ISNUMBER(H117),IF(YEAR(H117)=Einstellungen!$B$5,H117,""),"")</f>
      </c>
    </row>
    <row r="118" spans="8:10" x14ac:dyDescent="0.25">
      <c r="H118" s="52">
        <f>IF($A118="","",IF(OR($C118="alle",ISNUMBER(SEARCH(" "&amp;IFERROR(VLOOKUP(Einstellungen!$B$6,$E$2:$F$17,2,FALSE),"--")&amp;" "," "&amp;$C118&amp;" "))),$A118,""))</f>
      </c>
      <c r="I118" s="52">
        <f>IF($A118="","",IF(OR($C118="alle",ISNUMBER(SEARCH(" "&amp;"HE"&amp;" "," "&amp;$C118&amp;" "))),$A118,""))</f>
      </c>
      <c r="J118" s="52">
        <f>IF(ISNUMBER(H118),IF(YEAR(H118)=Einstellungen!$B$5,H118,""),"")</f>
      </c>
    </row>
    <row r="119" spans="8:10" x14ac:dyDescent="0.25">
      <c r="H119" s="52">
        <f>IF($A119="","",IF(OR($C119="alle",ISNUMBER(SEARCH(" "&amp;IFERROR(VLOOKUP(Einstellungen!$B$6,$E$2:$F$17,2,FALSE),"--")&amp;" "," "&amp;$C119&amp;" "))),$A119,""))</f>
      </c>
      <c r="I119" s="52">
        <f>IF($A119="","",IF(OR($C119="alle",ISNUMBER(SEARCH(" "&amp;"HE"&amp;" "," "&amp;$C119&amp;" "))),$A119,""))</f>
      </c>
      <c r="J119" s="52">
        <f>IF(ISNUMBER(H119),IF(YEAR(H119)=Einstellungen!$B$5,H119,""),"")</f>
      </c>
    </row>
    <row r="120" spans="8:10" x14ac:dyDescent="0.25">
      <c r="H120" s="52">
        <f>IF($A120="","",IF(OR($C120="alle",ISNUMBER(SEARCH(" "&amp;IFERROR(VLOOKUP(Einstellungen!$B$6,$E$2:$F$17,2,FALSE),"--")&amp;" "," "&amp;$C120&amp;" "))),$A120,""))</f>
      </c>
      <c r="I120" s="52">
        <f>IF($A120="","",IF(OR($C120="alle",ISNUMBER(SEARCH(" "&amp;"HE"&amp;" "," "&amp;$C120&amp;" "))),$A120,""))</f>
      </c>
      <c r="J120" s="52">
        <f>IF(ISNUMBER(H120),IF(YEAR(H120)=Einstellungen!$B$5,H120,""),"")</f>
      </c>
    </row>
    <row r="121" spans="8:10" x14ac:dyDescent="0.25">
      <c r="H121" s="52">
        <f>IF($A121="","",IF(OR($C121="alle",ISNUMBER(SEARCH(" "&amp;IFERROR(VLOOKUP(Einstellungen!$B$6,$E$2:$F$17,2,FALSE),"--")&amp;" "," "&amp;$C121&amp;" "))),$A121,""))</f>
      </c>
      <c r="I121" s="52">
        <f>IF($A121="","",IF(OR($C121="alle",ISNUMBER(SEARCH(" "&amp;"HE"&amp;" "," "&amp;$C121&amp;" "))),$A121,""))</f>
      </c>
      <c r="J121" s="52">
        <f>IF(ISNUMBER(H121),IF(YEAR(H121)=Einstellungen!$B$5,H121,""),"")</f>
      </c>
    </row>
    <row r="122" spans="8:10" x14ac:dyDescent="0.25">
      <c r="H122" s="52">
        <f>IF($A122="","",IF(OR($C122="alle",ISNUMBER(SEARCH(" "&amp;IFERROR(VLOOKUP(Einstellungen!$B$6,$E$2:$F$17,2,FALSE),"--")&amp;" "," "&amp;$C122&amp;" "))),$A122,""))</f>
      </c>
      <c r="I122" s="52">
        <f>IF($A122="","",IF(OR($C122="alle",ISNUMBER(SEARCH(" "&amp;"HE"&amp;" "," "&amp;$C122&amp;" "))),$A122,""))</f>
      </c>
      <c r="J122" s="52">
        <f>IF(ISNUMBER(H122),IF(YEAR(H122)=Einstellungen!$B$5,H122,""),"")</f>
      </c>
    </row>
    <row r="123" spans="8:10" x14ac:dyDescent="0.25">
      <c r="H123" s="52">
        <f>IF($A123="","",IF(OR($C123="alle",ISNUMBER(SEARCH(" "&amp;IFERROR(VLOOKUP(Einstellungen!$B$6,$E$2:$F$17,2,FALSE),"--")&amp;" "," "&amp;$C123&amp;" "))),$A123,""))</f>
      </c>
      <c r="I123" s="52">
        <f>IF($A123="","",IF(OR($C123="alle",ISNUMBER(SEARCH(" "&amp;"HE"&amp;" "," "&amp;$C123&amp;" "))),$A123,""))</f>
      </c>
      <c r="J123" s="52">
        <f>IF(ISNUMBER(H123),IF(YEAR(H123)=Einstellungen!$B$5,H123,""),"")</f>
      </c>
    </row>
    <row r="124" spans="8:10" x14ac:dyDescent="0.25">
      <c r="H124" s="52">
        <f>IF($A124="","",IF(OR($C124="alle",ISNUMBER(SEARCH(" "&amp;IFERROR(VLOOKUP(Einstellungen!$B$6,$E$2:$F$17,2,FALSE),"--")&amp;" "," "&amp;$C124&amp;" "))),$A124,""))</f>
      </c>
      <c r="I124" s="52">
        <f>IF($A124="","",IF(OR($C124="alle",ISNUMBER(SEARCH(" "&amp;"HE"&amp;" "," "&amp;$C124&amp;" "))),$A124,""))</f>
      </c>
      <c r="J124" s="52">
        <f>IF(ISNUMBER(H124),IF(YEAR(H124)=Einstellungen!$B$5,H124,""),"")</f>
      </c>
    </row>
    <row r="125" spans="8:10" x14ac:dyDescent="0.25">
      <c r="H125" s="52">
        <f>IF($A125="","",IF(OR($C125="alle",ISNUMBER(SEARCH(" "&amp;IFERROR(VLOOKUP(Einstellungen!$B$6,$E$2:$F$17,2,FALSE),"--")&amp;" "," "&amp;$C125&amp;" "))),$A125,""))</f>
      </c>
      <c r="I125" s="52">
        <f>IF($A125="","",IF(OR($C125="alle",ISNUMBER(SEARCH(" "&amp;"HE"&amp;" "," "&amp;$C125&amp;" "))),$A125,""))</f>
      </c>
      <c r="J125" s="52">
        <f>IF(ISNUMBER(H125),IF(YEAR(H125)=Einstellungen!$B$5,H125,""),"")</f>
      </c>
    </row>
    <row r="126" spans="8:10" x14ac:dyDescent="0.25">
      <c r="H126" s="52">
        <f>IF($A126="","",IF(OR($C126="alle",ISNUMBER(SEARCH(" "&amp;IFERROR(VLOOKUP(Einstellungen!$B$6,$E$2:$F$17,2,FALSE),"--")&amp;" "," "&amp;$C126&amp;" "))),$A126,""))</f>
      </c>
      <c r="I126" s="52">
        <f>IF($A126="","",IF(OR($C126="alle",ISNUMBER(SEARCH(" "&amp;"HE"&amp;" "," "&amp;$C126&amp;" "))),$A126,""))</f>
      </c>
      <c r="J126" s="52">
        <f>IF(ISNUMBER(H126),IF(YEAR(H126)=Einstellungen!$B$5,H126,""),"")</f>
      </c>
    </row>
    <row r="127" spans="8:10" x14ac:dyDescent="0.25">
      <c r="H127" s="52">
        <f>IF($A127="","",IF(OR($C127="alle",ISNUMBER(SEARCH(" "&amp;IFERROR(VLOOKUP(Einstellungen!$B$6,$E$2:$F$17,2,FALSE),"--")&amp;" "," "&amp;$C127&amp;" "))),$A127,""))</f>
      </c>
      <c r="I127" s="52">
        <f>IF($A127="","",IF(OR($C127="alle",ISNUMBER(SEARCH(" "&amp;"HE"&amp;" "," "&amp;$C127&amp;" "))),$A127,""))</f>
      </c>
      <c r="J127" s="52">
        <f>IF(ISNUMBER(H127),IF(YEAR(H127)=Einstellungen!$B$5,H127,""),"")</f>
      </c>
    </row>
    <row r="128" spans="8:10" x14ac:dyDescent="0.25">
      <c r="H128" s="52">
        <f>IF($A128="","",IF(OR($C128="alle",ISNUMBER(SEARCH(" "&amp;IFERROR(VLOOKUP(Einstellungen!$B$6,$E$2:$F$17,2,FALSE),"--")&amp;" "," "&amp;$C128&amp;" "))),$A128,""))</f>
      </c>
      <c r="I128" s="52">
        <f>IF($A128="","",IF(OR($C128="alle",ISNUMBER(SEARCH(" "&amp;"HE"&amp;" "," "&amp;$C128&amp;" "))),$A128,""))</f>
      </c>
      <c r="J128" s="52">
        <f>IF(ISNUMBER(H128),IF(YEAR(H128)=Einstellungen!$B$5,H128,""),"")</f>
      </c>
    </row>
    <row r="129" spans="8:10" x14ac:dyDescent="0.25">
      <c r="H129" s="52">
        <f>IF($A129="","",IF(OR($C129="alle",ISNUMBER(SEARCH(" "&amp;IFERROR(VLOOKUP(Einstellungen!$B$6,$E$2:$F$17,2,FALSE),"--")&amp;" "," "&amp;$C129&amp;" "))),$A129,""))</f>
      </c>
      <c r="I129" s="52">
        <f>IF($A129="","",IF(OR($C129="alle",ISNUMBER(SEARCH(" "&amp;"HE"&amp;" "," "&amp;$C129&amp;" "))),$A129,""))</f>
      </c>
      <c r="J129" s="52">
        <f>IF(ISNUMBER(H129),IF(YEAR(H129)=Einstellungen!$B$5,H129,""),"")</f>
      </c>
    </row>
    <row r="130" spans="8:10" x14ac:dyDescent="0.25">
      <c r="H130" s="52">
        <f>IF($A130="","",IF(OR($C130="alle",ISNUMBER(SEARCH(" "&amp;IFERROR(VLOOKUP(Einstellungen!$B$6,$E$2:$F$17,2,FALSE),"--")&amp;" "," "&amp;$C130&amp;" "))),$A130,""))</f>
      </c>
      <c r="I130" s="52">
        <f>IF($A130="","",IF(OR($C130="alle",ISNUMBER(SEARCH(" "&amp;"HE"&amp;" "," "&amp;$C130&amp;" "))),$A130,""))</f>
      </c>
      <c r="J130" s="52">
        <f>IF(ISNUMBER(H130),IF(YEAR(H130)=Einstellungen!$B$5,H130,""),"")</f>
      </c>
    </row>
    <row r="131" spans="8:10" x14ac:dyDescent="0.25">
      <c r="H131" s="52">
        <f>IF($A131="","",IF(OR($C131="alle",ISNUMBER(SEARCH(" "&amp;IFERROR(VLOOKUP(Einstellungen!$B$6,$E$2:$F$17,2,FALSE),"--")&amp;" "," "&amp;$C131&amp;" "))),$A131,""))</f>
      </c>
      <c r="I131" s="52">
        <f>IF($A131="","",IF(OR($C131="alle",ISNUMBER(SEARCH(" "&amp;"HE"&amp;" "," "&amp;$C131&amp;" "))),$A131,""))</f>
      </c>
      <c r="J131" s="52">
        <f>IF(ISNUMBER(H131),IF(YEAR(H131)=Einstellungen!$B$5,H131,""),"")</f>
      </c>
    </row>
    <row r="132" spans="8:10" x14ac:dyDescent="0.25">
      <c r="H132" s="52">
        <f>IF($A132="","",IF(OR($C132="alle",ISNUMBER(SEARCH(" "&amp;IFERROR(VLOOKUP(Einstellungen!$B$6,$E$2:$F$17,2,FALSE),"--")&amp;" "," "&amp;$C132&amp;" "))),$A132,""))</f>
      </c>
      <c r="I132" s="52">
        <f>IF($A132="","",IF(OR($C132="alle",ISNUMBER(SEARCH(" "&amp;"HE"&amp;" "," "&amp;$C132&amp;" "))),$A132,""))</f>
      </c>
      <c r="J132" s="52">
        <f>IF(ISNUMBER(H132),IF(YEAR(H132)=Einstellungen!$B$5,H132,""),"")</f>
      </c>
    </row>
    <row r="133" spans="8:10" x14ac:dyDescent="0.25">
      <c r="H133" s="52">
        <f>IF($A133="","",IF(OR($C133="alle",ISNUMBER(SEARCH(" "&amp;IFERROR(VLOOKUP(Einstellungen!$B$6,$E$2:$F$17,2,FALSE),"--")&amp;" "," "&amp;$C133&amp;" "))),$A133,""))</f>
      </c>
      <c r="I133" s="52">
        <f>IF($A133="","",IF(OR($C133="alle",ISNUMBER(SEARCH(" "&amp;"HE"&amp;" "," "&amp;$C133&amp;" "))),$A133,""))</f>
      </c>
      <c r="J133" s="52">
        <f>IF(ISNUMBER(H133),IF(YEAR(H133)=Einstellungen!$B$5,H133,""),"")</f>
      </c>
    </row>
    <row r="134" spans="8:10" x14ac:dyDescent="0.25">
      <c r="H134" s="52">
        <f>IF($A134="","",IF(OR($C134="alle",ISNUMBER(SEARCH(" "&amp;IFERROR(VLOOKUP(Einstellungen!$B$6,$E$2:$F$17,2,FALSE),"--")&amp;" "," "&amp;$C134&amp;" "))),$A134,""))</f>
      </c>
      <c r="I134" s="52">
        <f>IF($A134="","",IF(OR($C134="alle",ISNUMBER(SEARCH(" "&amp;"HE"&amp;" "," "&amp;$C134&amp;" "))),$A134,""))</f>
      </c>
      <c r="J134" s="52">
        <f>IF(ISNUMBER(H134),IF(YEAR(H134)=Einstellungen!$B$5,H134,""),"")</f>
      </c>
    </row>
    <row r="135" spans="8:10" x14ac:dyDescent="0.25">
      <c r="H135" s="52">
        <f>IF($A135="","",IF(OR($C135="alle",ISNUMBER(SEARCH(" "&amp;IFERROR(VLOOKUP(Einstellungen!$B$6,$E$2:$F$17,2,FALSE),"--")&amp;" "," "&amp;$C135&amp;" "))),$A135,""))</f>
      </c>
      <c r="I135" s="52">
        <f>IF($A135="","",IF(OR($C135="alle",ISNUMBER(SEARCH(" "&amp;"HE"&amp;" "," "&amp;$C135&amp;" "))),$A135,""))</f>
      </c>
      <c r="J135" s="52">
        <f>IF(ISNUMBER(H135),IF(YEAR(H135)=Einstellungen!$B$5,H135,""),"")</f>
      </c>
    </row>
    <row r="136" spans="8:10" x14ac:dyDescent="0.25">
      <c r="H136" s="52">
        <f>IF($A136="","",IF(OR($C136="alle",ISNUMBER(SEARCH(" "&amp;IFERROR(VLOOKUP(Einstellungen!$B$6,$E$2:$F$17,2,FALSE),"--")&amp;" "," "&amp;$C136&amp;" "))),$A136,""))</f>
      </c>
      <c r="I136" s="52">
        <f>IF($A136="","",IF(OR($C136="alle",ISNUMBER(SEARCH(" "&amp;"HE"&amp;" "," "&amp;$C136&amp;" "))),$A136,""))</f>
      </c>
      <c r="J136" s="52">
        <f>IF(ISNUMBER(H136),IF(YEAR(H136)=Einstellungen!$B$5,H136,""),"")</f>
      </c>
    </row>
    <row r="137" spans="8:10" x14ac:dyDescent="0.25">
      <c r="H137" s="52">
        <f>IF($A137="","",IF(OR($C137="alle",ISNUMBER(SEARCH(" "&amp;IFERROR(VLOOKUP(Einstellungen!$B$6,$E$2:$F$17,2,FALSE),"--")&amp;" "," "&amp;$C137&amp;" "))),$A137,""))</f>
      </c>
      <c r="I137" s="52">
        <f>IF($A137="","",IF(OR($C137="alle",ISNUMBER(SEARCH(" "&amp;"HE"&amp;" "," "&amp;$C137&amp;" "))),$A137,""))</f>
      </c>
      <c r="J137" s="52">
        <f>IF(ISNUMBER(H137),IF(YEAR(H137)=Einstellungen!$B$5,H137,""),"")</f>
      </c>
    </row>
    <row r="138" spans="8:10" x14ac:dyDescent="0.25">
      <c r="H138" s="52">
        <f>IF($A138="","",IF(OR($C138="alle",ISNUMBER(SEARCH(" "&amp;IFERROR(VLOOKUP(Einstellungen!$B$6,$E$2:$F$17,2,FALSE),"--")&amp;" "," "&amp;$C138&amp;" "))),$A138,""))</f>
      </c>
      <c r="I138" s="52">
        <f>IF($A138="","",IF(OR($C138="alle",ISNUMBER(SEARCH(" "&amp;"HE"&amp;" "," "&amp;$C138&amp;" "))),$A138,""))</f>
      </c>
      <c r="J138" s="52">
        <f>IF(ISNUMBER(H138),IF(YEAR(H138)=Einstellungen!$B$5,H138,""),"")</f>
      </c>
    </row>
    <row r="139" spans="8:10" x14ac:dyDescent="0.25">
      <c r="H139" s="52">
        <f>IF($A139="","",IF(OR($C139="alle",ISNUMBER(SEARCH(" "&amp;IFERROR(VLOOKUP(Einstellungen!$B$6,$E$2:$F$17,2,FALSE),"--")&amp;" "," "&amp;$C139&amp;" "))),$A139,""))</f>
      </c>
      <c r="I139" s="52">
        <f>IF($A139="","",IF(OR($C139="alle",ISNUMBER(SEARCH(" "&amp;"HE"&amp;" "," "&amp;$C139&amp;" "))),$A139,""))</f>
      </c>
      <c r="J139" s="52">
        <f>IF(ISNUMBER(H139),IF(YEAR(H139)=Einstellungen!$B$5,H139,""),"")</f>
      </c>
    </row>
    <row r="140" spans="8:10" x14ac:dyDescent="0.25">
      <c r="H140" s="52">
        <f>IF($A140="","",IF(OR($C140="alle",ISNUMBER(SEARCH(" "&amp;IFERROR(VLOOKUP(Einstellungen!$B$6,$E$2:$F$17,2,FALSE),"--")&amp;" "," "&amp;$C140&amp;" "))),$A140,""))</f>
      </c>
      <c r="I140" s="52">
        <f>IF($A140="","",IF(OR($C140="alle",ISNUMBER(SEARCH(" "&amp;"HE"&amp;" "," "&amp;$C140&amp;" "))),$A140,""))</f>
      </c>
      <c r="J140" s="52">
        <f>IF(ISNUMBER(H140),IF(YEAR(H140)=Einstellungen!$B$5,H140,""),"")</f>
      </c>
    </row>
    <row r="141" spans="8:10" x14ac:dyDescent="0.25">
      <c r="H141" s="52">
        <f>IF($A141="","",IF(OR($C141="alle",ISNUMBER(SEARCH(" "&amp;IFERROR(VLOOKUP(Einstellungen!$B$6,$E$2:$F$17,2,FALSE),"--")&amp;" "," "&amp;$C141&amp;" "))),$A141,""))</f>
      </c>
      <c r="I141" s="52">
        <f>IF($A141="","",IF(OR($C141="alle",ISNUMBER(SEARCH(" "&amp;"HE"&amp;" "," "&amp;$C141&amp;" "))),$A141,""))</f>
      </c>
      <c r="J141" s="52">
        <f>IF(ISNUMBER(H141),IF(YEAR(H141)=Einstellungen!$B$5,H141,""),"")</f>
      </c>
    </row>
    <row r="142" spans="8:10" x14ac:dyDescent="0.25">
      <c r="H142" s="52">
        <f>IF($A142="","",IF(OR($C142="alle",ISNUMBER(SEARCH(" "&amp;IFERROR(VLOOKUP(Einstellungen!$B$6,$E$2:$F$17,2,FALSE),"--")&amp;" "," "&amp;$C142&amp;" "))),$A142,""))</f>
      </c>
      <c r="I142" s="52">
        <f>IF($A142="","",IF(OR($C142="alle",ISNUMBER(SEARCH(" "&amp;"HE"&amp;" "," "&amp;$C142&amp;" "))),$A142,""))</f>
      </c>
      <c r="J142" s="52">
        <f>IF(ISNUMBER(H142),IF(YEAR(H142)=Einstellungen!$B$5,H142,""),"")</f>
      </c>
    </row>
    <row r="143" spans="8:10" x14ac:dyDescent="0.25">
      <c r="H143" s="52">
        <f>IF($A143="","",IF(OR($C143="alle",ISNUMBER(SEARCH(" "&amp;IFERROR(VLOOKUP(Einstellungen!$B$6,$E$2:$F$17,2,FALSE),"--")&amp;" "," "&amp;$C143&amp;" "))),$A143,""))</f>
      </c>
      <c r="I143" s="52">
        <f>IF($A143="","",IF(OR($C143="alle",ISNUMBER(SEARCH(" "&amp;"HE"&amp;" "," "&amp;$C143&amp;" "))),$A143,""))</f>
      </c>
      <c r="J143" s="52">
        <f>IF(ISNUMBER(H143),IF(YEAR(H143)=Einstellungen!$B$5,H143,""),"")</f>
      </c>
    </row>
    <row r="144" spans="8:10" x14ac:dyDescent="0.25">
      <c r="H144" s="52">
        <f>IF($A144="","",IF(OR($C144="alle",ISNUMBER(SEARCH(" "&amp;IFERROR(VLOOKUP(Einstellungen!$B$6,$E$2:$F$17,2,FALSE),"--")&amp;" "," "&amp;$C144&amp;" "))),$A144,""))</f>
      </c>
      <c r="I144" s="52">
        <f>IF($A144="","",IF(OR($C144="alle",ISNUMBER(SEARCH(" "&amp;"HE"&amp;" "," "&amp;$C144&amp;" "))),$A144,""))</f>
      </c>
      <c r="J144" s="52">
        <f>IF(ISNUMBER(H144),IF(YEAR(H144)=Einstellungen!$B$5,H144,""),"")</f>
      </c>
    </row>
    <row r="145" spans="8:10" x14ac:dyDescent="0.25">
      <c r="H145" s="52">
        <f>IF($A145="","",IF(OR($C145="alle",ISNUMBER(SEARCH(" "&amp;IFERROR(VLOOKUP(Einstellungen!$B$6,$E$2:$F$17,2,FALSE),"--")&amp;" "," "&amp;$C145&amp;" "))),$A145,""))</f>
      </c>
      <c r="I145" s="52">
        <f>IF($A145="","",IF(OR($C145="alle",ISNUMBER(SEARCH(" "&amp;"HE"&amp;" "," "&amp;$C145&amp;" "))),$A145,""))</f>
      </c>
      <c r="J145" s="52">
        <f>IF(ISNUMBER(H145),IF(YEAR(H145)=Einstellungen!$B$5,H145,""),"")</f>
      </c>
    </row>
    <row r="146" spans="8:10" x14ac:dyDescent="0.25">
      <c r="H146" s="52">
        <f>IF($A146="","",IF(OR($C146="alle",ISNUMBER(SEARCH(" "&amp;IFERROR(VLOOKUP(Einstellungen!$B$6,$E$2:$F$17,2,FALSE),"--")&amp;" "," "&amp;$C146&amp;" "))),$A146,""))</f>
      </c>
      <c r="I146" s="52">
        <f>IF($A146="","",IF(OR($C146="alle",ISNUMBER(SEARCH(" "&amp;"HE"&amp;" "," "&amp;$C146&amp;" "))),$A146,""))</f>
      </c>
      <c r="J146" s="52">
        <f>IF(ISNUMBER(H146),IF(YEAR(H146)=Einstellungen!$B$5,H146,""),"")</f>
      </c>
    </row>
    <row r="147" spans="8:10" x14ac:dyDescent="0.25">
      <c r="H147" s="52">
        <f>IF($A147="","",IF(OR($C147="alle",ISNUMBER(SEARCH(" "&amp;IFERROR(VLOOKUP(Einstellungen!$B$6,$E$2:$F$17,2,FALSE),"--")&amp;" "," "&amp;$C147&amp;" "))),$A147,""))</f>
      </c>
      <c r="I147" s="52">
        <f>IF($A147="","",IF(OR($C147="alle",ISNUMBER(SEARCH(" "&amp;"HE"&amp;" "," "&amp;$C147&amp;" "))),$A147,""))</f>
      </c>
      <c r="J147" s="52">
        <f>IF(ISNUMBER(H147),IF(YEAR(H147)=Einstellungen!$B$5,H147,""),"")</f>
      </c>
    </row>
    <row r="148" spans="8:10" x14ac:dyDescent="0.25">
      <c r="H148" s="52">
        <f>IF($A148="","",IF(OR($C148="alle",ISNUMBER(SEARCH(" "&amp;IFERROR(VLOOKUP(Einstellungen!$B$6,$E$2:$F$17,2,FALSE),"--")&amp;" "," "&amp;$C148&amp;" "))),$A148,""))</f>
      </c>
      <c r="I148" s="52">
        <f>IF($A148="","",IF(OR($C148="alle",ISNUMBER(SEARCH(" "&amp;"HE"&amp;" "," "&amp;$C148&amp;" "))),$A148,""))</f>
      </c>
      <c r="J148" s="52">
        <f>IF(ISNUMBER(H148),IF(YEAR(H148)=Einstellungen!$B$5,H148,""),"")</f>
      </c>
    </row>
    <row r="149" spans="8:10" x14ac:dyDescent="0.25">
      <c r="H149" s="52">
        <f>IF($A149="","",IF(OR($C149="alle",ISNUMBER(SEARCH(" "&amp;IFERROR(VLOOKUP(Einstellungen!$B$6,$E$2:$F$17,2,FALSE),"--")&amp;" "," "&amp;$C149&amp;" "))),$A149,""))</f>
      </c>
      <c r="I149" s="52">
        <f>IF($A149="","",IF(OR($C149="alle",ISNUMBER(SEARCH(" "&amp;"HE"&amp;" "," "&amp;$C149&amp;" "))),$A149,""))</f>
      </c>
      <c r="J149" s="52">
        <f>IF(ISNUMBER(H149),IF(YEAR(H149)=Einstellungen!$B$5,H149,""),"")</f>
      </c>
    </row>
    <row r="150" spans="8:10" x14ac:dyDescent="0.25">
      <c r="H150" s="52">
        <f>IF($A150="","",IF(OR($C150="alle",ISNUMBER(SEARCH(" "&amp;IFERROR(VLOOKUP(Einstellungen!$B$6,$E$2:$F$17,2,FALSE),"--")&amp;" "," "&amp;$C150&amp;" "))),$A150,""))</f>
      </c>
      <c r="I150" s="52">
        <f>IF($A150="","",IF(OR($C150="alle",ISNUMBER(SEARCH(" "&amp;"HE"&amp;" "," "&amp;$C150&amp;" "))),$A150,""))</f>
      </c>
      <c r="J150" s="52">
        <f>IF(ISNUMBER(H150),IF(YEAR(H150)=Einstellungen!$B$5,H150,""),"")</f>
      </c>
    </row>
    <row r="151" spans="8:10" x14ac:dyDescent="0.25">
      <c r="H151" s="52">
        <f>IF($A151="","",IF(OR($C151="alle",ISNUMBER(SEARCH(" "&amp;IFERROR(VLOOKUP(Einstellungen!$B$6,$E$2:$F$17,2,FALSE),"--")&amp;" "," "&amp;$C151&amp;" "))),$A151,""))</f>
      </c>
      <c r="I151" s="52">
        <f>IF($A151="","",IF(OR($C151="alle",ISNUMBER(SEARCH(" "&amp;"HE"&amp;" "," "&amp;$C151&amp;" "))),$A151,""))</f>
      </c>
      <c r="J151" s="52">
        <f>IF(ISNUMBER(H151),IF(YEAR(H151)=Einstellungen!$B$5,H151,""),"")</f>
      </c>
    </row>
    <row r="152" spans="8:10" x14ac:dyDescent="0.25">
      <c r="H152" s="52">
        <f>IF($A152="","",IF(OR($C152="alle",ISNUMBER(SEARCH(" "&amp;IFERROR(VLOOKUP(Einstellungen!$B$6,$E$2:$F$17,2,FALSE),"--")&amp;" "," "&amp;$C152&amp;" "))),$A152,""))</f>
      </c>
      <c r="I152" s="52">
        <f>IF($A152="","",IF(OR($C152="alle",ISNUMBER(SEARCH(" "&amp;"HE"&amp;" "," "&amp;$C152&amp;" "))),$A152,""))</f>
      </c>
      <c r="J152" s="52">
        <f>IF(ISNUMBER(H152),IF(YEAR(H152)=Einstellungen!$B$5,H152,""),"")</f>
      </c>
    </row>
    <row r="153" spans="8:10" x14ac:dyDescent="0.25">
      <c r="H153" s="52">
        <f>IF($A153="","",IF(OR($C153="alle",ISNUMBER(SEARCH(" "&amp;IFERROR(VLOOKUP(Einstellungen!$B$6,$E$2:$F$17,2,FALSE),"--")&amp;" "," "&amp;$C153&amp;" "))),$A153,""))</f>
      </c>
      <c r="I153" s="52">
        <f>IF($A153="","",IF(OR($C153="alle",ISNUMBER(SEARCH(" "&amp;"HE"&amp;" "," "&amp;$C153&amp;" "))),$A153,""))</f>
      </c>
      <c r="J153" s="52">
        <f>IF(ISNUMBER(H153),IF(YEAR(H153)=Einstellungen!$B$5,H153,""),"")</f>
      </c>
    </row>
    <row r="154" spans="8:10" x14ac:dyDescent="0.25">
      <c r="H154" s="52">
        <f>IF($A154="","",IF(OR($C154="alle",ISNUMBER(SEARCH(" "&amp;IFERROR(VLOOKUP(Einstellungen!$B$6,$E$2:$F$17,2,FALSE),"--")&amp;" "," "&amp;$C154&amp;" "))),$A154,""))</f>
      </c>
      <c r="I154" s="52">
        <f>IF($A154="","",IF(OR($C154="alle",ISNUMBER(SEARCH(" "&amp;"HE"&amp;" "," "&amp;$C154&amp;" "))),$A154,""))</f>
      </c>
      <c r="J154" s="52">
        <f>IF(ISNUMBER(H154),IF(YEAR(H154)=Einstellungen!$B$5,H154,""),"")</f>
      </c>
    </row>
    <row r="155" spans="8:10" x14ac:dyDescent="0.25">
      <c r="H155" s="52">
        <f>IF($A155="","",IF(OR($C155="alle",ISNUMBER(SEARCH(" "&amp;IFERROR(VLOOKUP(Einstellungen!$B$6,$E$2:$F$17,2,FALSE),"--")&amp;" "," "&amp;$C155&amp;" "))),$A155,""))</f>
      </c>
      <c r="I155" s="52">
        <f>IF($A155="","",IF(OR($C155="alle",ISNUMBER(SEARCH(" "&amp;"HE"&amp;" "," "&amp;$C155&amp;" "))),$A155,""))</f>
      </c>
      <c r="J155" s="52">
        <f>IF(ISNUMBER(H155),IF(YEAR(H155)=Einstellungen!$B$5,H155,""),"")</f>
      </c>
    </row>
    <row r="156" spans="8:10" x14ac:dyDescent="0.25">
      <c r="H156" s="52">
        <f>IF($A156="","",IF(OR($C156="alle",ISNUMBER(SEARCH(" "&amp;IFERROR(VLOOKUP(Einstellungen!$B$6,$E$2:$F$17,2,FALSE),"--")&amp;" "," "&amp;$C156&amp;" "))),$A156,""))</f>
      </c>
      <c r="I156" s="52">
        <f>IF($A156="","",IF(OR($C156="alle",ISNUMBER(SEARCH(" "&amp;"HE"&amp;" "," "&amp;$C156&amp;" "))),$A156,""))</f>
      </c>
      <c r="J156" s="52">
        <f>IF(ISNUMBER(H156),IF(YEAR(H156)=Einstellungen!$B$5,H156,""),"")</f>
      </c>
    </row>
    <row r="157" spans="8:10" x14ac:dyDescent="0.25">
      <c r="H157" s="52">
        <f>IF($A157="","",IF(OR($C157="alle",ISNUMBER(SEARCH(" "&amp;IFERROR(VLOOKUP(Einstellungen!$B$6,$E$2:$F$17,2,FALSE),"--")&amp;" "," "&amp;$C157&amp;" "))),$A157,""))</f>
      </c>
      <c r="I157" s="52">
        <f>IF($A157="","",IF(OR($C157="alle",ISNUMBER(SEARCH(" "&amp;"HE"&amp;" "," "&amp;$C157&amp;" "))),$A157,""))</f>
      </c>
      <c r="J157" s="52">
        <f>IF(ISNUMBER(H157),IF(YEAR(H157)=Einstellungen!$B$5,H157,""),"")</f>
      </c>
    </row>
    <row r="158" spans="8:10" x14ac:dyDescent="0.25">
      <c r="H158" s="52">
        <f>IF($A158="","",IF(OR($C158="alle",ISNUMBER(SEARCH(" "&amp;IFERROR(VLOOKUP(Einstellungen!$B$6,$E$2:$F$17,2,FALSE),"--")&amp;" "," "&amp;$C158&amp;" "))),$A158,""))</f>
      </c>
      <c r="I158" s="52">
        <f>IF($A158="","",IF(OR($C158="alle",ISNUMBER(SEARCH(" "&amp;"HE"&amp;" "," "&amp;$C158&amp;" "))),$A158,""))</f>
      </c>
      <c r="J158" s="52">
        <f>IF(ISNUMBER(H158),IF(YEAR(H158)=Einstellungen!$B$5,H158,""),"")</f>
      </c>
    </row>
    <row r="159" spans="8:10" x14ac:dyDescent="0.25">
      <c r="H159" s="52">
        <f>IF($A159="","",IF(OR($C159="alle",ISNUMBER(SEARCH(" "&amp;IFERROR(VLOOKUP(Einstellungen!$B$6,$E$2:$F$17,2,FALSE),"--")&amp;" "," "&amp;$C159&amp;" "))),$A159,""))</f>
      </c>
      <c r="I159" s="52">
        <f>IF($A159="","",IF(OR($C159="alle",ISNUMBER(SEARCH(" "&amp;"HE"&amp;" "," "&amp;$C159&amp;" "))),$A159,""))</f>
      </c>
      <c r="J159" s="52">
        <f>IF(ISNUMBER(H159),IF(YEAR(H159)=Einstellungen!$B$5,H159,""),"")</f>
      </c>
    </row>
    <row r="160" spans="8:10" x14ac:dyDescent="0.25">
      <c r="H160" s="52">
        <f>IF($A160="","",IF(OR($C160="alle",ISNUMBER(SEARCH(" "&amp;IFERROR(VLOOKUP(Einstellungen!$B$6,$E$2:$F$17,2,FALSE),"--")&amp;" "," "&amp;$C160&amp;" "))),$A160,""))</f>
      </c>
      <c r="I160" s="52">
        <f>IF($A160="","",IF(OR($C160="alle",ISNUMBER(SEARCH(" "&amp;"HE"&amp;" "," "&amp;$C160&amp;" "))),$A160,""))</f>
      </c>
      <c r="J160" s="52">
        <f>IF(ISNUMBER(H160),IF(YEAR(H160)=Einstellungen!$B$5,H160,""),"")</f>
      </c>
    </row>
    <row r="161" spans="8:10" x14ac:dyDescent="0.25">
      <c r="H161" s="52">
        <f>IF($A161="","",IF(OR($C161="alle",ISNUMBER(SEARCH(" "&amp;IFERROR(VLOOKUP(Einstellungen!$B$6,$E$2:$F$17,2,FALSE),"--")&amp;" "," "&amp;$C161&amp;" "))),$A161,""))</f>
      </c>
      <c r="I161" s="52">
        <f>IF($A161="","",IF(OR($C161="alle",ISNUMBER(SEARCH(" "&amp;"HE"&amp;" "," "&amp;$C161&amp;" "))),$A161,""))</f>
      </c>
      <c r="J161" s="52">
        <f>IF(ISNUMBER(H161),IF(YEAR(H161)=Einstellungen!$B$5,H161,""),"")</f>
      </c>
    </row>
    <row r="162" spans="8:10" x14ac:dyDescent="0.25">
      <c r="H162" s="52">
        <f>IF($A162="","",IF(OR($C162="alle",ISNUMBER(SEARCH(" "&amp;IFERROR(VLOOKUP(Einstellungen!$B$6,$E$2:$F$17,2,FALSE),"--")&amp;" "," "&amp;$C162&amp;" "))),$A162,""))</f>
      </c>
      <c r="I162" s="52">
        <f>IF($A162="","",IF(OR($C162="alle",ISNUMBER(SEARCH(" "&amp;"HE"&amp;" "," "&amp;$C162&amp;" "))),$A162,""))</f>
      </c>
      <c r="J162" s="52">
        <f>IF(ISNUMBER(H162),IF(YEAR(H162)=Einstellungen!$B$5,H162,""),"")</f>
      </c>
    </row>
    <row r="163" spans="8:10" x14ac:dyDescent="0.25">
      <c r="H163" s="52">
        <f>IF($A163="","",IF(OR($C163="alle",ISNUMBER(SEARCH(" "&amp;IFERROR(VLOOKUP(Einstellungen!$B$6,$E$2:$F$17,2,FALSE),"--")&amp;" "," "&amp;$C163&amp;" "))),$A163,""))</f>
      </c>
      <c r="I163" s="52">
        <f>IF($A163="","",IF(OR($C163="alle",ISNUMBER(SEARCH(" "&amp;"HE"&amp;" "," "&amp;$C163&amp;" "))),$A163,""))</f>
      </c>
      <c r="J163" s="52">
        <f>IF(ISNUMBER(H163),IF(YEAR(H163)=Einstellungen!$B$5,H163,""),"")</f>
      </c>
    </row>
    <row r="164" spans="8:10" x14ac:dyDescent="0.25">
      <c r="H164" s="52">
        <f>IF($A164="","",IF(OR($C164="alle",ISNUMBER(SEARCH(" "&amp;IFERROR(VLOOKUP(Einstellungen!$B$6,$E$2:$F$17,2,FALSE),"--")&amp;" "," "&amp;$C164&amp;" "))),$A164,""))</f>
      </c>
      <c r="I164" s="52">
        <f>IF($A164="","",IF(OR($C164="alle",ISNUMBER(SEARCH(" "&amp;"HE"&amp;" "," "&amp;$C164&amp;" "))),$A164,""))</f>
      </c>
      <c r="J164" s="52">
        <f>IF(ISNUMBER(H164),IF(YEAR(H164)=Einstellungen!$B$5,H164,""),"")</f>
      </c>
    </row>
    <row r="165" spans="8:10" x14ac:dyDescent="0.25">
      <c r="H165" s="52">
        <f>IF($A165="","",IF(OR($C165="alle",ISNUMBER(SEARCH(" "&amp;IFERROR(VLOOKUP(Einstellungen!$B$6,$E$2:$F$17,2,FALSE),"--")&amp;" "," "&amp;$C165&amp;" "))),$A165,""))</f>
      </c>
      <c r="I165" s="52">
        <f>IF($A165="","",IF(OR($C165="alle",ISNUMBER(SEARCH(" "&amp;"HE"&amp;" "," "&amp;$C165&amp;" "))),$A165,""))</f>
      </c>
      <c r="J165" s="52">
        <f>IF(ISNUMBER(H165),IF(YEAR(H165)=Einstellungen!$B$5,H165,""),"")</f>
      </c>
    </row>
    <row r="166" spans="8:10" x14ac:dyDescent="0.25">
      <c r="H166" s="52">
        <f>IF($A166="","",IF(OR($C166="alle",ISNUMBER(SEARCH(" "&amp;IFERROR(VLOOKUP(Einstellungen!$B$6,$E$2:$F$17,2,FALSE),"--")&amp;" "," "&amp;$C166&amp;" "))),$A166,""))</f>
      </c>
      <c r="I166" s="52">
        <f>IF($A166="","",IF(OR($C166="alle",ISNUMBER(SEARCH(" "&amp;"HE"&amp;" "," "&amp;$C166&amp;" "))),$A166,""))</f>
      </c>
      <c r="J166" s="52">
        <f>IF(ISNUMBER(H166),IF(YEAR(H166)=Einstellungen!$B$5,H166,""),"")</f>
      </c>
    </row>
    <row r="167" spans="8:10" x14ac:dyDescent="0.25">
      <c r="H167" s="52">
        <f>IF($A167="","",IF(OR($C167="alle",ISNUMBER(SEARCH(" "&amp;IFERROR(VLOOKUP(Einstellungen!$B$6,$E$2:$F$17,2,FALSE),"--")&amp;" "," "&amp;$C167&amp;" "))),$A167,""))</f>
      </c>
      <c r="I167" s="52">
        <f>IF($A167="","",IF(OR($C167="alle",ISNUMBER(SEARCH(" "&amp;"HE"&amp;" "," "&amp;$C167&amp;" "))),$A167,""))</f>
      </c>
      <c r="J167" s="52">
        <f>IF(ISNUMBER(H167),IF(YEAR(H167)=Einstellungen!$B$5,H167,""),"")</f>
      </c>
    </row>
    <row r="168" spans="8:10" x14ac:dyDescent="0.25">
      <c r="H168" s="52">
        <f>IF($A168="","",IF(OR($C168="alle",ISNUMBER(SEARCH(" "&amp;IFERROR(VLOOKUP(Einstellungen!$B$6,$E$2:$F$17,2,FALSE),"--")&amp;" "," "&amp;$C168&amp;" "))),$A168,""))</f>
      </c>
      <c r="I168" s="52">
        <f>IF($A168="","",IF(OR($C168="alle",ISNUMBER(SEARCH(" "&amp;"HE"&amp;" "," "&amp;$C168&amp;" "))),$A168,""))</f>
      </c>
      <c r="J168" s="52">
        <f>IF(ISNUMBER(H168),IF(YEAR(H168)=Einstellungen!$B$5,H168,""),"")</f>
      </c>
    </row>
    <row r="169" spans="8:10" x14ac:dyDescent="0.25">
      <c r="H169" s="52">
        <f>IF($A169="","",IF(OR($C169="alle",ISNUMBER(SEARCH(" "&amp;IFERROR(VLOOKUP(Einstellungen!$B$6,$E$2:$F$17,2,FALSE),"--")&amp;" "," "&amp;$C169&amp;" "))),$A169,""))</f>
      </c>
      <c r="I169" s="52">
        <f>IF($A169="","",IF(OR($C169="alle",ISNUMBER(SEARCH(" "&amp;"HE"&amp;" "," "&amp;$C169&amp;" "))),$A169,""))</f>
      </c>
      <c r="J169" s="52">
        <f>IF(ISNUMBER(H169),IF(YEAR(H169)=Einstellungen!$B$5,H169,""),"")</f>
      </c>
    </row>
    <row r="170" spans="8:10" x14ac:dyDescent="0.25">
      <c r="H170" s="52">
        <f>IF($A170="","",IF(OR($C170="alle",ISNUMBER(SEARCH(" "&amp;IFERROR(VLOOKUP(Einstellungen!$B$6,$E$2:$F$17,2,FALSE),"--")&amp;" "," "&amp;$C170&amp;" "))),$A170,""))</f>
      </c>
      <c r="I170" s="52">
        <f>IF($A170="","",IF(OR($C170="alle",ISNUMBER(SEARCH(" "&amp;"HE"&amp;" "," "&amp;$C170&amp;" "))),$A170,""))</f>
      </c>
      <c r="J170" s="52">
        <f>IF(ISNUMBER(H170),IF(YEAR(H170)=Einstellungen!$B$5,H170,""),"")</f>
      </c>
    </row>
    <row r="171" spans="8:10" x14ac:dyDescent="0.25">
      <c r="H171" s="52">
        <f>IF($A171="","",IF(OR($C171="alle",ISNUMBER(SEARCH(" "&amp;IFERROR(VLOOKUP(Einstellungen!$B$6,$E$2:$F$17,2,FALSE),"--")&amp;" "," "&amp;$C171&amp;" "))),$A171,""))</f>
      </c>
      <c r="I171" s="52">
        <f>IF($A171="","",IF(OR($C171="alle",ISNUMBER(SEARCH(" "&amp;"HE"&amp;" "," "&amp;$C171&amp;" "))),$A171,""))</f>
      </c>
      <c r="J171" s="52">
        <f>IF(ISNUMBER(H171),IF(YEAR(H171)=Einstellungen!$B$5,H171,""),"")</f>
      </c>
    </row>
    <row r="172" spans="8:10" x14ac:dyDescent="0.25">
      <c r="H172" s="52">
        <f>IF($A172="","",IF(OR($C172="alle",ISNUMBER(SEARCH(" "&amp;IFERROR(VLOOKUP(Einstellungen!$B$6,$E$2:$F$17,2,FALSE),"--")&amp;" "," "&amp;$C172&amp;" "))),$A172,""))</f>
      </c>
      <c r="I172" s="52">
        <f>IF($A172="","",IF(OR($C172="alle",ISNUMBER(SEARCH(" "&amp;"HE"&amp;" "," "&amp;$C172&amp;" "))),$A172,""))</f>
      </c>
      <c r="J172" s="52">
        <f>IF(ISNUMBER(H172),IF(YEAR(H172)=Einstellungen!$B$5,H172,""),"")</f>
      </c>
    </row>
    <row r="173" spans="8:10" x14ac:dyDescent="0.25">
      <c r="H173" s="52">
        <f>IF($A173="","",IF(OR($C173="alle",ISNUMBER(SEARCH(" "&amp;IFERROR(VLOOKUP(Einstellungen!$B$6,$E$2:$F$17,2,FALSE),"--")&amp;" "," "&amp;$C173&amp;" "))),$A173,""))</f>
      </c>
      <c r="I173" s="52">
        <f>IF($A173="","",IF(OR($C173="alle",ISNUMBER(SEARCH(" "&amp;"HE"&amp;" "," "&amp;$C173&amp;" "))),$A173,""))</f>
      </c>
      <c r="J173" s="52">
        <f>IF(ISNUMBER(H173),IF(YEAR(H173)=Einstellungen!$B$5,H173,""),"")</f>
      </c>
    </row>
    <row r="174" spans="8:10" x14ac:dyDescent="0.25">
      <c r="H174" s="52">
        <f>IF($A174="","",IF(OR($C174="alle",ISNUMBER(SEARCH(" "&amp;IFERROR(VLOOKUP(Einstellungen!$B$6,$E$2:$F$17,2,FALSE),"--")&amp;" "," "&amp;$C174&amp;" "))),$A174,""))</f>
      </c>
      <c r="I174" s="52">
        <f>IF($A174="","",IF(OR($C174="alle",ISNUMBER(SEARCH(" "&amp;"HE"&amp;" "," "&amp;$C174&amp;" "))),$A174,""))</f>
      </c>
      <c r="J174" s="52">
        <f>IF(ISNUMBER(H174),IF(YEAR(H174)=Einstellungen!$B$5,H174,""),"")</f>
      </c>
    </row>
    <row r="175" spans="8:10" x14ac:dyDescent="0.25">
      <c r="H175" s="52">
        <f>IF($A175="","",IF(OR($C175="alle",ISNUMBER(SEARCH(" "&amp;IFERROR(VLOOKUP(Einstellungen!$B$6,$E$2:$F$17,2,FALSE),"--")&amp;" "," "&amp;$C175&amp;" "))),$A175,""))</f>
      </c>
      <c r="I175" s="52">
        <f>IF($A175="","",IF(OR($C175="alle",ISNUMBER(SEARCH(" "&amp;"HE"&amp;" "," "&amp;$C175&amp;" "))),$A175,""))</f>
      </c>
      <c r="J175" s="52">
        <f>IF(ISNUMBER(H175),IF(YEAR(H175)=Einstellungen!$B$5,H175,""),"")</f>
      </c>
    </row>
    <row r="176" spans="8:10" x14ac:dyDescent="0.25">
      <c r="H176" s="52">
        <f>IF($A176="","",IF(OR($C176="alle",ISNUMBER(SEARCH(" "&amp;IFERROR(VLOOKUP(Einstellungen!$B$6,$E$2:$F$17,2,FALSE),"--")&amp;" "," "&amp;$C176&amp;" "))),$A176,""))</f>
      </c>
      <c r="I176" s="52">
        <f>IF($A176="","",IF(OR($C176="alle",ISNUMBER(SEARCH(" "&amp;"HE"&amp;" "," "&amp;$C176&amp;" "))),$A176,""))</f>
      </c>
      <c r="J176" s="52">
        <f>IF(ISNUMBER(H176),IF(YEAR(H176)=Einstellungen!$B$5,H176,""),"")</f>
      </c>
    </row>
    <row r="177" spans="8:10" x14ac:dyDescent="0.25">
      <c r="H177" s="52">
        <f>IF($A177="","",IF(OR($C177="alle",ISNUMBER(SEARCH(" "&amp;IFERROR(VLOOKUP(Einstellungen!$B$6,$E$2:$F$17,2,FALSE),"--")&amp;" "," "&amp;$C177&amp;" "))),$A177,""))</f>
      </c>
      <c r="I177" s="52">
        <f>IF($A177="","",IF(OR($C177="alle",ISNUMBER(SEARCH(" "&amp;"HE"&amp;" "," "&amp;$C177&amp;" "))),$A177,""))</f>
      </c>
      <c r="J177" s="52">
        <f>IF(ISNUMBER(H177),IF(YEAR(H177)=Einstellungen!$B$5,H177,""),"")</f>
      </c>
    </row>
    <row r="178" spans="8:10" x14ac:dyDescent="0.25">
      <c r="H178" s="52">
        <f>IF($A178="","",IF(OR($C178="alle",ISNUMBER(SEARCH(" "&amp;IFERROR(VLOOKUP(Einstellungen!$B$6,$E$2:$F$17,2,FALSE),"--")&amp;" "," "&amp;$C178&amp;" "))),$A178,""))</f>
      </c>
      <c r="I178" s="52">
        <f>IF($A178="","",IF(OR($C178="alle",ISNUMBER(SEARCH(" "&amp;"HE"&amp;" "," "&amp;$C178&amp;" "))),$A178,""))</f>
      </c>
      <c r="J178" s="52">
        <f>IF(ISNUMBER(H178),IF(YEAR(H178)=Einstellungen!$B$5,H178,""),"")</f>
      </c>
    </row>
    <row r="179" spans="8:10" x14ac:dyDescent="0.25">
      <c r="H179" s="52">
        <f>IF($A179="","",IF(OR($C179="alle",ISNUMBER(SEARCH(" "&amp;IFERROR(VLOOKUP(Einstellungen!$B$6,$E$2:$F$17,2,FALSE),"--")&amp;" "," "&amp;$C179&amp;" "))),$A179,""))</f>
      </c>
      <c r="I179" s="52">
        <f>IF($A179="","",IF(OR($C179="alle",ISNUMBER(SEARCH(" "&amp;"HE"&amp;" "," "&amp;$C179&amp;" "))),$A179,""))</f>
      </c>
      <c r="J179" s="52">
        <f>IF(ISNUMBER(H179),IF(YEAR(H179)=Einstellungen!$B$5,H179,""),"")</f>
      </c>
    </row>
    <row r="180" spans="8:10" x14ac:dyDescent="0.25">
      <c r="H180" s="52">
        <f>IF($A180="","",IF(OR($C180="alle",ISNUMBER(SEARCH(" "&amp;IFERROR(VLOOKUP(Einstellungen!$B$6,$E$2:$F$17,2,FALSE),"--")&amp;" "," "&amp;$C180&amp;" "))),$A180,""))</f>
      </c>
      <c r="I180" s="52">
        <f>IF($A180="","",IF(OR($C180="alle",ISNUMBER(SEARCH(" "&amp;"HE"&amp;" "," "&amp;$C180&amp;" "))),$A180,""))</f>
      </c>
      <c r="J180" s="52">
        <f>IF(ISNUMBER(H180),IF(YEAR(H180)=Einstellungen!$B$5,H180,""),"")</f>
      </c>
    </row>
    <row r="181" spans="8:10" x14ac:dyDescent="0.25">
      <c r="H181" s="52">
        <f>IF($A181="","",IF(OR($C181="alle",ISNUMBER(SEARCH(" "&amp;IFERROR(VLOOKUP(Einstellungen!$B$6,$E$2:$F$17,2,FALSE),"--")&amp;" "," "&amp;$C181&amp;" "))),$A181,""))</f>
      </c>
      <c r="I181" s="52">
        <f>IF($A181="","",IF(OR($C181="alle",ISNUMBER(SEARCH(" "&amp;"HE"&amp;" "," "&amp;$C181&amp;" "))),$A181,""))</f>
      </c>
      <c r="J181" s="52">
        <f>IF(ISNUMBER(H181),IF(YEAR(H181)=Einstellungen!$B$5,H181,""),"")</f>
      </c>
    </row>
    <row r="182" spans="8:10" x14ac:dyDescent="0.25">
      <c r="H182" s="52">
        <f>IF($A182="","",IF(OR($C182="alle",ISNUMBER(SEARCH(" "&amp;IFERROR(VLOOKUP(Einstellungen!$B$6,$E$2:$F$17,2,FALSE),"--")&amp;" "," "&amp;$C182&amp;" "))),$A182,""))</f>
      </c>
      <c r="I182" s="52">
        <f>IF($A182="","",IF(OR($C182="alle",ISNUMBER(SEARCH(" "&amp;"HE"&amp;" "," "&amp;$C182&amp;" "))),$A182,""))</f>
      </c>
      <c r="J182" s="52">
        <f>IF(ISNUMBER(H182),IF(YEAR(H182)=Einstellungen!$B$5,H182,""),"")</f>
      </c>
    </row>
    <row r="183" spans="8:10" x14ac:dyDescent="0.25">
      <c r="H183" s="52">
        <f>IF($A183="","",IF(OR($C183="alle",ISNUMBER(SEARCH(" "&amp;IFERROR(VLOOKUP(Einstellungen!$B$6,$E$2:$F$17,2,FALSE),"--")&amp;" "," "&amp;$C183&amp;" "))),$A183,""))</f>
      </c>
      <c r="I183" s="52">
        <f>IF($A183="","",IF(OR($C183="alle",ISNUMBER(SEARCH(" "&amp;"HE"&amp;" "," "&amp;$C183&amp;" "))),$A183,""))</f>
      </c>
      <c r="J183" s="52">
        <f>IF(ISNUMBER(H183),IF(YEAR(H183)=Einstellungen!$B$5,H183,""),"")</f>
      </c>
    </row>
    <row r="184" spans="8:10" x14ac:dyDescent="0.25">
      <c r="H184" s="52">
        <f>IF($A184="","",IF(OR($C184="alle",ISNUMBER(SEARCH(" "&amp;IFERROR(VLOOKUP(Einstellungen!$B$6,$E$2:$F$17,2,FALSE),"--")&amp;" "," "&amp;$C184&amp;" "))),$A184,""))</f>
      </c>
      <c r="I184" s="52">
        <f>IF($A184="","",IF(OR($C184="alle",ISNUMBER(SEARCH(" "&amp;"HE"&amp;" "," "&amp;$C184&amp;" "))),$A184,""))</f>
      </c>
      <c r="J184" s="52">
        <f>IF(ISNUMBER(H184),IF(YEAR(H184)=Einstellungen!$B$5,H184,""),"")</f>
      </c>
    </row>
    <row r="185" spans="8:10" x14ac:dyDescent="0.25">
      <c r="H185" s="52">
        <f>IF($A185="","",IF(OR($C185="alle",ISNUMBER(SEARCH(" "&amp;IFERROR(VLOOKUP(Einstellungen!$B$6,$E$2:$F$17,2,FALSE),"--")&amp;" "," "&amp;$C185&amp;" "))),$A185,""))</f>
      </c>
      <c r="I185" s="52">
        <f>IF($A185="","",IF(OR($C185="alle",ISNUMBER(SEARCH(" "&amp;"HE"&amp;" "," "&amp;$C185&amp;" "))),$A185,""))</f>
      </c>
      <c r="J185" s="52">
        <f>IF(ISNUMBER(H185),IF(YEAR(H185)=Einstellungen!$B$5,H185,""),"")</f>
      </c>
    </row>
    <row r="186" spans="8:10" x14ac:dyDescent="0.25">
      <c r="H186" s="52">
        <f>IF($A186="","",IF(OR($C186="alle",ISNUMBER(SEARCH(" "&amp;IFERROR(VLOOKUP(Einstellungen!$B$6,$E$2:$F$17,2,FALSE),"--")&amp;" "," "&amp;$C186&amp;" "))),$A186,""))</f>
      </c>
      <c r="I186" s="52">
        <f>IF($A186="","",IF(OR($C186="alle",ISNUMBER(SEARCH(" "&amp;"HE"&amp;" "," "&amp;$C186&amp;" "))),$A186,""))</f>
      </c>
      <c r="J186" s="52">
        <f>IF(ISNUMBER(H186),IF(YEAR(H186)=Einstellungen!$B$5,H186,""),"")</f>
      </c>
    </row>
    <row r="187" spans="8:10" x14ac:dyDescent="0.25">
      <c r="H187" s="52">
        <f>IF($A187="","",IF(OR($C187="alle",ISNUMBER(SEARCH(" "&amp;IFERROR(VLOOKUP(Einstellungen!$B$6,$E$2:$F$17,2,FALSE),"--")&amp;" "," "&amp;$C187&amp;" "))),$A187,""))</f>
      </c>
      <c r="I187" s="52">
        <f>IF($A187="","",IF(OR($C187="alle",ISNUMBER(SEARCH(" "&amp;"HE"&amp;" "," "&amp;$C187&amp;" "))),$A187,""))</f>
      </c>
      <c r="J187" s="52">
        <f>IF(ISNUMBER(H187),IF(YEAR(H187)=Einstellungen!$B$5,H187,""),"")</f>
      </c>
    </row>
    <row r="188" spans="8:10" x14ac:dyDescent="0.25">
      <c r="H188" s="52">
        <f>IF($A188="","",IF(OR($C188="alle",ISNUMBER(SEARCH(" "&amp;IFERROR(VLOOKUP(Einstellungen!$B$6,$E$2:$F$17,2,FALSE),"--")&amp;" "," "&amp;$C188&amp;" "))),$A188,""))</f>
      </c>
      <c r="I188" s="52">
        <f>IF($A188="","",IF(OR($C188="alle",ISNUMBER(SEARCH(" "&amp;"HE"&amp;" "," "&amp;$C188&amp;" "))),$A188,""))</f>
      </c>
      <c r="J188" s="52">
        <f>IF(ISNUMBER(H188),IF(YEAR(H188)=Einstellungen!$B$5,H188,""),"")</f>
      </c>
    </row>
    <row r="189" spans="8:10" x14ac:dyDescent="0.25">
      <c r="H189" s="52">
        <f>IF($A189="","",IF(OR($C189="alle",ISNUMBER(SEARCH(" "&amp;IFERROR(VLOOKUP(Einstellungen!$B$6,$E$2:$F$17,2,FALSE),"--")&amp;" "," "&amp;$C189&amp;" "))),$A189,""))</f>
      </c>
      <c r="I189" s="52">
        <f>IF($A189="","",IF(OR($C189="alle",ISNUMBER(SEARCH(" "&amp;"HE"&amp;" "," "&amp;$C189&amp;" "))),$A189,""))</f>
      </c>
      <c r="J189" s="52">
        <f>IF(ISNUMBER(H189),IF(YEAR(H189)=Einstellungen!$B$5,H189,""),"")</f>
      </c>
    </row>
    <row r="190" spans="8:10" x14ac:dyDescent="0.25">
      <c r="H190" s="52">
        <f>IF($A190="","",IF(OR($C190="alle",ISNUMBER(SEARCH(" "&amp;IFERROR(VLOOKUP(Einstellungen!$B$6,$E$2:$F$17,2,FALSE),"--")&amp;" "," "&amp;$C190&amp;" "))),$A190,""))</f>
      </c>
      <c r="I190" s="52">
        <f>IF($A190="","",IF(OR($C190="alle",ISNUMBER(SEARCH(" "&amp;"HE"&amp;" "," "&amp;$C190&amp;" "))),$A190,""))</f>
      </c>
      <c r="J190" s="52">
        <f>IF(ISNUMBER(H190),IF(YEAR(H190)=Einstellungen!$B$5,H190,""),"")</f>
      </c>
    </row>
    <row r="191" spans="8:10" x14ac:dyDescent="0.25">
      <c r="H191" s="52">
        <f>IF($A191="","",IF(OR($C191="alle",ISNUMBER(SEARCH(" "&amp;IFERROR(VLOOKUP(Einstellungen!$B$6,$E$2:$F$17,2,FALSE),"--")&amp;" "," "&amp;$C191&amp;" "))),$A191,""))</f>
      </c>
      <c r="I191" s="52">
        <f>IF($A191="","",IF(OR($C191="alle",ISNUMBER(SEARCH(" "&amp;"HE"&amp;" "," "&amp;$C191&amp;" "))),$A191,""))</f>
      </c>
      <c r="J191" s="52">
        <f>IF(ISNUMBER(H191),IF(YEAR(H191)=Einstellungen!$B$5,H191,""),"")</f>
      </c>
    </row>
    <row r="192" spans="8:10" x14ac:dyDescent="0.25">
      <c r="H192" s="52">
        <f>IF($A192="","",IF(OR($C192="alle",ISNUMBER(SEARCH(" "&amp;IFERROR(VLOOKUP(Einstellungen!$B$6,$E$2:$F$17,2,FALSE),"--")&amp;" "," "&amp;$C192&amp;" "))),$A192,""))</f>
      </c>
      <c r="I192" s="52">
        <f>IF($A192="","",IF(OR($C192="alle",ISNUMBER(SEARCH(" "&amp;"HE"&amp;" "," "&amp;$C192&amp;" "))),$A192,""))</f>
      </c>
      <c r="J192" s="52">
        <f>IF(ISNUMBER(H192),IF(YEAR(H192)=Einstellungen!$B$5,H192,""),"")</f>
      </c>
    </row>
    <row r="193" spans="8:10" x14ac:dyDescent="0.25">
      <c r="H193" s="52">
        <f>IF($A193="","",IF(OR($C193="alle",ISNUMBER(SEARCH(" "&amp;IFERROR(VLOOKUP(Einstellungen!$B$6,$E$2:$F$17,2,FALSE),"--")&amp;" "," "&amp;$C193&amp;" "))),$A193,""))</f>
      </c>
      <c r="I193" s="52">
        <f>IF($A193="","",IF(OR($C193="alle",ISNUMBER(SEARCH(" "&amp;"HE"&amp;" "," "&amp;$C193&amp;" "))),$A193,""))</f>
      </c>
      <c r="J193" s="52">
        <f>IF(ISNUMBER(H193),IF(YEAR(H193)=Einstellungen!$B$5,H193,""),"")</f>
      </c>
    </row>
    <row r="194" spans="8:10" x14ac:dyDescent="0.25">
      <c r="H194" s="52">
        <f>IF($A194="","",IF(OR($C194="alle",ISNUMBER(SEARCH(" "&amp;IFERROR(VLOOKUP(Einstellungen!$B$6,$E$2:$F$17,2,FALSE),"--")&amp;" "," "&amp;$C194&amp;" "))),$A194,""))</f>
      </c>
      <c r="I194" s="52">
        <f>IF($A194="","",IF(OR($C194="alle",ISNUMBER(SEARCH(" "&amp;"HE"&amp;" "," "&amp;$C194&amp;" "))),$A194,""))</f>
      </c>
      <c r="J194" s="52">
        <f>IF(ISNUMBER(H194),IF(YEAR(H194)=Einstellungen!$B$5,H194,""),"")</f>
      </c>
    </row>
    <row r="195" spans="8:10" x14ac:dyDescent="0.25">
      <c r="H195" s="52">
        <f>IF($A195="","",IF(OR($C195="alle",ISNUMBER(SEARCH(" "&amp;IFERROR(VLOOKUP(Einstellungen!$B$6,$E$2:$F$17,2,FALSE),"--")&amp;" "," "&amp;$C195&amp;" "))),$A195,""))</f>
      </c>
      <c r="I195" s="52">
        <f>IF($A195="","",IF(OR($C195="alle",ISNUMBER(SEARCH(" "&amp;"HE"&amp;" "," "&amp;$C195&amp;" "))),$A195,""))</f>
      </c>
      <c r="J195" s="52">
        <f>IF(ISNUMBER(H195),IF(YEAR(H195)=Einstellungen!$B$5,H195,""),"")</f>
      </c>
    </row>
    <row r="196" spans="8:10" x14ac:dyDescent="0.25">
      <c r="H196" s="52">
        <f>IF($A196="","",IF(OR($C196="alle",ISNUMBER(SEARCH(" "&amp;IFERROR(VLOOKUP(Einstellungen!$B$6,$E$2:$F$17,2,FALSE),"--")&amp;" "," "&amp;$C196&amp;" "))),$A196,""))</f>
      </c>
      <c r="I196" s="52">
        <f>IF($A196="","",IF(OR($C196="alle",ISNUMBER(SEARCH(" "&amp;"HE"&amp;" "," "&amp;$C196&amp;" "))),$A196,""))</f>
      </c>
      <c r="J196" s="52">
        <f>IF(ISNUMBER(H196),IF(YEAR(H196)=Einstellungen!$B$5,H196,""),"")</f>
      </c>
    </row>
    <row r="197" spans="8:10" x14ac:dyDescent="0.25">
      <c r="H197" s="52">
        <f>IF($A197="","",IF(OR($C197="alle",ISNUMBER(SEARCH(" "&amp;IFERROR(VLOOKUP(Einstellungen!$B$6,$E$2:$F$17,2,FALSE),"--")&amp;" "," "&amp;$C197&amp;" "))),$A197,""))</f>
      </c>
      <c r="I197" s="52">
        <f>IF($A197="","",IF(OR($C197="alle",ISNUMBER(SEARCH(" "&amp;"HE"&amp;" "," "&amp;$C197&amp;" "))),$A197,""))</f>
      </c>
      <c r="J197" s="52">
        <f>IF(ISNUMBER(H197),IF(YEAR(H197)=Einstellungen!$B$5,H197,""),"")</f>
      </c>
    </row>
    <row r="198" spans="8:10" x14ac:dyDescent="0.25">
      <c r="H198" s="52">
        <f>IF($A198="","",IF(OR($C198="alle",ISNUMBER(SEARCH(" "&amp;IFERROR(VLOOKUP(Einstellungen!$B$6,$E$2:$F$17,2,FALSE),"--")&amp;" "," "&amp;$C198&amp;" "))),$A198,""))</f>
      </c>
      <c r="I198" s="52">
        <f>IF($A198="","",IF(OR($C198="alle",ISNUMBER(SEARCH(" "&amp;"HE"&amp;" "," "&amp;$C198&amp;" "))),$A198,""))</f>
      </c>
      <c r="J198" s="52">
        <f>IF(ISNUMBER(H198),IF(YEAR(H198)=Einstellungen!$B$5,H198,""),"")</f>
      </c>
    </row>
    <row r="199" spans="8:10" x14ac:dyDescent="0.25">
      <c r="H199" s="52">
        <f>IF($A199="","",IF(OR($C199="alle",ISNUMBER(SEARCH(" "&amp;IFERROR(VLOOKUP(Einstellungen!$B$6,$E$2:$F$17,2,FALSE),"--")&amp;" "," "&amp;$C199&amp;" "))),$A199,""))</f>
      </c>
      <c r="I199" s="52">
        <f>IF($A199="","",IF(OR($C199="alle",ISNUMBER(SEARCH(" "&amp;"HE"&amp;" "," "&amp;$C199&amp;" "))),$A199,""))</f>
      </c>
      <c r="J199" s="52">
        <f>IF(ISNUMBER(H199),IF(YEAR(H199)=Einstellungen!$B$5,H199,""),"")</f>
      </c>
    </row>
    <row r="200" spans="8:10" x14ac:dyDescent="0.25">
      <c r="H200" s="52">
        <f>IF($A200="","",IF(OR($C200="alle",ISNUMBER(SEARCH(" "&amp;IFERROR(VLOOKUP(Einstellungen!$B$6,$E$2:$F$17,2,FALSE),"--")&amp;" "," "&amp;$C200&amp;" "))),$A200,""))</f>
      </c>
      <c r="I200" s="52">
        <f>IF($A200="","",IF(OR($C200="alle",ISNUMBER(SEARCH(" "&amp;"HE"&amp;" "," "&amp;$C200&amp;" "))),$A200,""))</f>
      </c>
      <c r="J200" s="52">
        <f>IF(ISNUMBER(H200),IF(YEAR(H200)=Einstellungen!$B$5,H200,""),"")</f>
      </c>
    </row>
  </sheetData>
  <mergeCells count="1">
    <mergeCell ref="A88:C91"/>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30"/>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53" t="s">
        <v>122</v>
      </c>
    </row>
    <row r="2" ht="30" customHeight="1" spans="2:2" x14ac:dyDescent="0.25">
      <c r="B2" s="54" t="s">
        <v>123</v>
      </c>
    </row>
    <row r="4" ht="20" customHeight="1" spans="2:2" x14ac:dyDescent="0.25">
      <c r="B4" s="16" t="s">
        <v>124</v>
      </c>
    </row>
    <row r="5" ht="29" customHeight="1" spans="2:2" x14ac:dyDescent="0.25">
      <c r="B5" s="54" t="s">
        <v>125</v>
      </c>
    </row>
    <row r="6" ht="29" customHeight="1" spans="2:2" x14ac:dyDescent="0.25">
      <c r="B6" s="54" t="s">
        <v>126</v>
      </c>
    </row>
    <row r="8" ht="20" customHeight="1" spans="2:2" x14ac:dyDescent="0.25">
      <c r="B8" s="16" t="s">
        <v>127</v>
      </c>
    </row>
    <row r="9" ht="29" customHeight="1" spans="2:2" x14ac:dyDescent="0.25">
      <c r="B9" s="54" t="s">
        <v>128</v>
      </c>
    </row>
    <row r="10" ht="29" customHeight="1" spans="2:2" x14ac:dyDescent="0.25">
      <c r="B10" s="54" t="s">
        <v>129</v>
      </c>
    </row>
    <row r="11" ht="16" customHeight="1" spans="2:2" x14ac:dyDescent="0.25">
      <c r="B11" s="54" t="s">
        <v>130</v>
      </c>
    </row>
    <row r="13" ht="20" customHeight="1" spans="2:2" x14ac:dyDescent="0.25">
      <c r="B13" s="16" t="s">
        <v>131</v>
      </c>
    </row>
    <row r="14" ht="29" customHeight="1" spans="2:2" x14ac:dyDescent="0.25">
      <c r="B14" s="54" t="s">
        <v>132</v>
      </c>
    </row>
    <row r="15" ht="29" customHeight="1" spans="2:2" x14ac:dyDescent="0.25">
      <c r="B15" s="54" t="s">
        <v>133</v>
      </c>
    </row>
    <row r="16" ht="29" customHeight="1" spans="2:2" x14ac:dyDescent="0.25">
      <c r="B16" s="54" t="s">
        <v>134</v>
      </c>
    </row>
    <row r="17" ht="43.5" customHeight="1" spans="2:2" x14ac:dyDescent="0.25">
      <c r="B17" s="54" t="s">
        <v>135</v>
      </c>
    </row>
    <row r="18" ht="29" customHeight="1" spans="2:2" x14ac:dyDescent="0.25">
      <c r="B18" s="54" t="s">
        <v>136</v>
      </c>
    </row>
    <row r="20" ht="20" customHeight="1" spans="2:2" x14ac:dyDescent="0.25">
      <c r="B20" s="16" t="s">
        <v>137</v>
      </c>
    </row>
    <row r="21" ht="58" customHeight="1" spans="2:2" x14ac:dyDescent="0.25">
      <c r="B21" s="54" t="s">
        <v>138</v>
      </c>
    </row>
    <row r="22" ht="29" customHeight="1" spans="2:2" x14ac:dyDescent="0.25">
      <c r="B22" s="54" t="s">
        <v>139</v>
      </c>
    </row>
    <row r="23" spans="2:2" x14ac:dyDescent="0.25">
      <c r="B23" s="55" t="s">
        <v>140</v>
      </c>
    </row>
    <row r="25" spans="2:2" x14ac:dyDescent="0.25">
      <c r="B25" s="16" t="s">
        <v>141</v>
      </c>
    </row>
    <row r="26" spans="2:2" x14ac:dyDescent="0.25">
      <c r="B26" s="55" t="s">
        <v>142</v>
      </c>
    </row>
    <row r="27" spans="2:2" x14ac:dyDescent="0.25">
      <c r="B27" s="55" t="s">
        <v>143</v>
      </c>
    </row>
    <row r="28" spans="2:2" x14ac:dyDescent="0.25">
      <c r="B28" s="55" t="s">
        <v>144</v>
      </c>
    </row>
    <row r="30" ht="30" customHeight="1" spans="2:2" x14ac:dyDescent="0.25">
      <c r="B30" s="20" t="s">
        <v>145</v>
      </c>
    </row>
  </sheetData>
  <hyperlinks>
    <hyperlink ref="B23" r:id="rId1"/>
    <hyperlink ref="B26" r:id="rId2"/>
    <hyperlink ref="B27" r:id="rId3"/>
    <hyperlink ref="B28" r:id="rId4"/>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Einstellungen</vt:lpstr>
      <vt:lpstr>Team</vt:lpstr>
      <vt:lpstr>Januar</vt:lpstr>
      <vt:lpstr>Februar</vt:lpstr>
      <vt:lpstr>März</vt:lpstr>
      <vt:lpstr>April</vt:lpstr>
      <vt:lpstr>Mai</vt:lpstr>
      <vt:lpstr>Juni</vt:lpstr>
      <vt:lpstr>Juli</vt:lpstr>
      <vt:lpstr>August</vt:lpstr>
      <vt:lpstr>September</vt:lpstr>
      <vt:lpstr>Oktober</vt:lpstr>
      <vt:lpstr>November</vt:lpstr>
      <vt:lpstr>Dezember</vt:lpstr>
      <vt:lpstr>Beispiel</vt:lpstr>
      <vt:lpstr>Feiertage</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Urlaubsplaner 2027 Vorlage</dc:title>
  <dc:subject>Urlaubsplaner 2027 für bis zu 25 Personen, mit Feiertagen je Bundesland und Urlaubskonto. Dazu ein Jahreskalender als PDF.</dc:subject>
  <dc:description>Kostenlose Vorlage von www.teamspace.de, Stand Oktober 2026.</dc:description>
  <cp:keywords>Urlaubsplaner, Vorlage, Excel</cp:keywords>
  <cp:category/>
  <cp:lastModifiedBy>teamspace</cp:lastModifiedBy>
  <dcterms:created xsi:type="dcterms:W3CDTF">2026-10-01T00:00:00Z</dcterms:created>
  <dcterms:modified xsi:type="dcterms:W3CDTF">2026-10-01T00:00:00Z</dcterms:modified>
</cp:coreProperties>
</file>